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Info" sheetId="6" r:id="rId1"/>
    <sheet name="HN2" sheetId="2" r:id="rId2"/>
    <sheet name="MMS" sheetId="4" r:id="rId3"/>
    <sheet name="IR" sheetId="5" r:id="rId4"/>
    <sheet name="Absolute" sheetId="1" r:id="rId5"/>
  </sheets>
  <definedNames>
    <definedName name="_xlnm.Print_Area" localSheetId="4">Absolute!#REF!</definedName>
  </definedNames>
  <calcPr calcId="152511" concurrentCalc="0"/>
</workbook>
</file>

<file path=xl/calcChain.xml><?xml version="1.0" encoding="utf-8"?>
<calcChain xmlns="http://schemas.openxmlformats.org/spreadsheetml/2006/main">
  <c r="Y7" i="1" l="1"/>
  <c r="Y6" i="1"/>
  <c r="Y5" i="1"/>
  <c r="V8" i="1"/>
  <c r="V7" i="1"/>
  <c r="V6" i="1"/>
  <c r="V5" i="1"/>
  <c r="S8" i="1"/>
  <c r="S7" i="1"/>
  <c r="S6" i="1"/>
  <c r="S5" i="1"/>
  <c r="P6" i="1"/>
  <c r="P5" i="1"/>
  <c r="M8" i="1"/>
  <c r="M7" i="1"/>
  <c r="M6" i="1"/>
  <c r="M5" i="1"/>
  <c r="J8" i="1"/>
  <c r="J7" i="1"/>
  <c r="X9" i="1"/>
  <c r="W9" i="1"/>
  <c r="U9" i="1"/>
  <c r="T9" i="1"/>
  <c r="R9" i="1"/>
  <c r="Q9" i="1"/>
  <c r="O9" i="1"/>
  <c r="N9" i="1"/>
  <c r="L9" i="1"/>
  <c r="K9" i="1"/>
  <c r="I9" i="1"/>
  <c r="H9" i="1"/>
  <c r="G8" i="1"/>
  <c r="G7" i="1"/>
  <c r="G6" i="1"/>
  <c r="G5" i="1"/>
  <c r="F9" i="1"/>
  <c r="E9" i="1"/>
  <c r="D8" i="1"/>
  <c r="D7" i="1"/>
  <c r="D6" i="1"/>
  <c r="D5" i="1"/>
  <c r="C9" i="1"/>
  <c r="B9" i="1"/>
  <c r="G9" i="1"/>
  <c r="D9" i="1"/>
  <c r="Y9" i="1"/>
  <c r="V9" i="1"/>
  <c r="S9" i="1"/>
  <c r="P9" i="1"/>
  <c r="M9" i="1"/>
  <c r="J9" i="1"/>
  <c r="Z9" i="1"/>
  <c r="G10" i="1"/>
  <c r="V10" i="1"/>
  <c r="Y10" i="1"/>
  <c r="P10" i="1"/>
  <c r="D38" i="5"/>
  <c r="D90" i="5"/>
  <c r="D89" i="5"/>
  <c r="D88" i="5"/>
  <c r="D87" i="5"/>
  <c r="D86" i="5"/>
  <c r="D85" i="5"/>
  <c r="D84" i="5"/>
  <c r="D80" i="5"/>
  <c r="D76" i="5"/>
  <c r="AD94" i="5"/>
  <c r="AD93" i="5"/>
  <c r="AD92" i="5"/>
  <c r="AD91" i="5"/>
  <c r="AD90" i="5"/>
  <c r="AD89" i="5"/>
  <c r="AD88" i="5"/>
  <c r="AD87" i="5"/>
  <c r="AD86" i="5"/>
  <c r="AD85" i="5"/>
  <c r="AD84" i="5"/>
  <c r="AD83" i="5"/>
  <c r="AD82" i="5"/>
  <c r="AD81" i="5"/>
  <c r="AD80" i="5"/>
  <c r="AD79" i="5"/>
  <c r="AD78" i="5"/>
  <c r="AD77" i="5"/>
  <c r="AD76" i="5"/>
  <c r="AD7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O86" i="5"/>
  <c r="O84" i="5"/>
  <c r="O81" i="5"/>
  <c r="O80" i="5"/>
  <c r="O78" i="5"/>
  <c r="O77" i="5"/>
  <c r="O76" i="5"/>
  <c r="O75" i="5"/>
  <c r="S86" i="5"/>
  <c r="S84" i="5"/>
  <c r="S81" i="5"/>
  <c r="S80" i="5"/>
  <c r="S78" i="5"/>
  <c r="S77" i="5"/>
  <c r="S76" i="5"/>
  <c r="S75" i="5"/>
  <c r="Z52" i="5"/>
  <c r="Z51" i="5"/>
  <c r="Z50" i="5"/>
  <c r="Z49" i="5"/>
  <c r="Z48" i="5"/>
  <c r="AD52" i="5"/>
  <c r="AD51" i="5"/>
  <c r="AD50" i="5"/>
  <c r="AD49" i="5"/>
  <c r="AD48" i="5"/>
  <c r="H59" i="5"/>
  <c r="H58" i="5"/>
  <c r="H56" i="5"/>
  <c r="H54" i="5"/>
  <c r="H53" i="5"/>
  <c r="H51" i="5"/>
  <c r="H45" i="5"/>
  <c r="H41" i="5"/>
  <c r="D59" i="5"/>
  <c r="D58" i="5"/>
  <c r="D56" i="5"/>
  <c r="D54" i="5"/>
  <c r="D53" i="5"/>
  <c r="D51" i="5"/>
  <c r="D45" i="5"/>
  <c r="D41" i="5"/>
  <c r="AD74" i="5"/>
  <c r="AD73" i="5"/>
  <c r="AD72" i="5"/>
  <c r="AD71" i="5"/>
  <c r="AD70" i="5"/>
  <c r="Z74" i="5"/>
  <c r="Z73" i="5"/>
  <c r="Z72" i="5"/>
  <c r="Z71" i="5"/>
  <c r="Z70" i="5"/>
  <c r="S74" i="5"/>
  <c r="S73" i="5"/>
  <c r="S72" i="5"/>
  <c r="S70" i="5"/>
  <c r="O74" i="5"/>
  <c r="O73" i="5"/>
  <c r="O72" i="5"/>
  <c r="O70" i="5"/>
  <c r="H74" i="5"/>
  <c r="H73" i="5"/>
  <c r="H72" i="5"/>
  <c r="H71" i="5"/>
  <c r="H70" i="5"/>
  <c r="D72" i="5"/>
  <c r="H38" i="5"/>
  <c r="Z27" i="4"/>
  <c r="Z26" i="4"/>
  <c r="Z25" i="4"/>
  <c r="Z24" i="4"/>
  <c r="Z23" i="4"/>
  <c r="Z22" i="4"/>
  <c r="Z21" i="4"/>
  <c r="Z20" i="4"/>
  <c r="AD27" i="4"/>
  <c r="AD26" i="4"/>
  <c r="AD25" i="4"/>
  <c r="AD24" i="4"/>
  <c r="AD23" i="4"/>
  <c r="AD22" i="4"/>
  <c r="AD21" i="4"/>
  <c r="AD20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90" i="4"/>
  <c r="AO89" i="4"/>
  <c r="AO88" i="4"/>
  <c r="AK90" i="4"/>
  <c r="AK89" i="4"/>
  <c r="AK88" i="4"/>
  <c r="AD97" i="4"/>
  <c r="AD96" i="4"/>
  <c r="AD95" i="4"/>
  <c r="AD94" i="4"/>
  <c r="AD93" i="4"/>
  <c r="AD92" i="4"/>
  <c r="AD91" i="4"/>
  <c r="AD90" i="4"/>
  <c r="AD89" i="4"/>
  <c r="AD88" i="4"/>
  <c r="Z97" i="4"/>
  <c r="Z96" i="4"/>
  <c r="Z95" i="4"/>
  <c r="Z94" i="4"/>
  <c r="Z93" i="4"/>
  <c r="Z92" i="4"/>
  <c r="Z91" i="4"/>
  <c r="Z90" i="4"/>
  <c r="Z89" i="4"/>
  <c r="Z88" i="4"/>
  <c r="AK87" i="4"/>
  <c r="AK86" i="4"/>
  <c r="AK85" i="4"/>
  <c r="AK84" i="4"/>
  <c r="AK83" i="4"/>
  <c r="AK82" i="4"/>
  <c r="Z87" i="4"/>
  <c r="Z85" i="4"/>
  <c r="Z84" i="4"/>
  <c r="Z83" i="4"/>
  <c r="Z82" i="4"/>
  <c r="AD87" i="4"/>
  <c r="AD86" i="4"/>
  <c r="AD85" i="4"/>
  <c r="AD84" i="4"/>
  <c r="AD83" i="4"/>
  <c r="AD82" i="4"/>
  <c r="AO87" i="4"/>
  <c r="AO86" i="4"/>
  <c r="AO85" i="4"/>
  <c r="AO84" i="4"/>
  <c r="AO83" i="4"/>
  <c r="AO82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O4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K6" i="4"/>
  <c r="AK5" i="4"/>
  <c r="AK4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Z19" i="4"/>
  <c r="Z18" i="4"/>
  <c r="Z17" i="4"/>
  <c r="Z16" i="4"/>
  <c r="Z15" i="4"/>
  <c r="Z14" i="4"/>
  <c r="Z13" i="4"/>
  <c r="Z12" i="4"/>
  <c r="Z11" i="4"/>
  <c r="Z10" i="4"/>
  <c r="Z9" i="4"/>
  <c r="Z8" i="4"/>
  <c r="AO34" i="4"/>
  <c r="AK34" i="4"/>
  <c r="AO33" i="4"/>
  <c r="AK33" i="4"/>
  <c r="H4" i="2"/>
  <c r="AH64" i="5"/>
  <c r="AM63" i="5"/>
  <c r="AJ63" i="5"/>
  <c r="AI63" i="5"/>
  <c r="AK63" i="5"/>
  <c r="AM62" i="5"/>
  <c r="AJ62" i="5"/>
  <c r="AI62" i="5"/>
  <c r="AM61" i="5"/>
  <c r="AJ61" i="5"/>
  <c r="AL61" i="5"/>
  <c r="AI61" i="5"/>
  <c r="AM60" i="5"/>
  <c r="AI60" i="5"/>
  <c r="AP59" i="5"/>
  <c r="AM59" i="5"/>
  <c r="AO59" i="5"/>
  <c r="AJ59" i="5"/>
  <c r="AI59" i="5"/>
  <c r="AK59" i="5"/>
  <c r="AP58" i="5"/>
  <c r="AM58" i="5"/>
  <c r="AO58" i="5"/>
  <c r="AJ58" i="5"/>
  <c r="AI58" i="5"/>
  <c r="AK58" i="5"/>
  <c r="AP57" i="5"/>
  <c r="AM57" i="5"/>
  <c r="AO57" i="5"/>
  <c r="AJ57" i="5"/>
  <c r="AI57" i="5"/>
  <c r="AK57" i="5"/>
  <c r="AP56" i="5"/>
  <c r="AM56" i="5"/>
  <c r="AO56" i="5"/>
  <c r="AJ56" i="5"/>
  <c r="AI56" i="5"/>
  <c r="AK56" i="5"/>
  <c r="AP55" i="5"/>
  <c r="AM55" i="5"/>
  <c r="AO55" i="5"/>
  <c r="AJ55" i="5"/>
  <c r="AI55" i="5"/>
  <c r="AK55" i="5"/>
  <c r="AN54" i="5"/>
  <c r="AM54" i="5"/>
  <c r="AJ54" i="5"/>
  <c r="AI54" i="5"/>
  <c r="AK54" i="5"/>
  <c r="AN53" i="5"/>
  <c r="AP53" i="5"/>
  <c r="AM53" i="5"/>
  <c r="AJ53" i="5"/>
  <c r="AI53" i="5"/>
  <c r="AK53" i="5"/>
  <c r="AN52" i="5"/>
  <c r="AM52" i="5"/>
  <c r="AJ52" i="5"/>
  <c r="AI52" i="5"/>
  <c r="AK52" i="5"/>
  <c r="AN51" i="5"/>
  <c r="AP51" i="5"/>
  <c r="AM51" i="5"/>
  <c r="AJ51" i="5"/>
  <c r="AI51" i="5"/>
  <c r="AK51" i="5"/>
  <c r="AN50" i="5"/>
  <c r="AM50" i="5"/>
  <c r="AJ50" i="5"/>
  <c r="AI50" i="5"/>
  <c r="AK50" i="5"/>
  <c r="AN49" i="5"/>
  <c r="AP49" i="5"/>
  <c r="AM49" i="5"/>
  <c r="AJ49" i="5"/>
  <c r="AI49" i="5"/>
  <c r="AN48" i="5"/>
  <c r="AM48" i="5"/>
  <c r="AJ48" i="5"/>
  <c r="AI48" i="5"/>
  <c r="AK48" i="5"/>
  <c r="AN47" i="5"/>
  <c r="AM47" i="5"/>
  <c r="AJ47" i="5"/>
  <c r="AI47" i="5"/>
  <c r="AM46" i="5"/>
  <c r="AJ46" i="5"/>
  <c r="AI46" i="5"/>
  <c r="AN45" i="5"/>
  <c r="AM45" i="5"/>
  <c r="AJ45" i="5"/>
  <c r="AI45" i="5"/>
  <c r="AN44" i="5"/>
  <c r="AM44" i="5"/>
  <c r="AJ44" i="5"/>
  <c r="AI44" i="5"/>
  <c r="AN43" i="5"/>
  <c r="AM43" i="5"/>
  <c r="AJ43" i="5"/>
  <c r="AI43" i="5"/>
  <c r="AN42" i="5"/>
  <c r="AM42" i="5"/>
  <c r="AJ42" i="5"/>
  <c r="AI42" i="5"/>
  <c r="AN41" i="5"/>
  <c r="AM41" i="5"/>
  <c r="AJ41" i="5"/>
  <c r="AI41" i="5"/>
  <c r="AN40" i="5"/>
  <c r="AM40" i="5"/>
  <c r="AJ40" i="5"/>
  <c r="AI40" i="5"/>
  <c r="AN39" i="5"/>
  <c r="AM39" i="5"/>
  <c r="AJ39" i="5"/>
  <c r="AI39" i="5"/>
  <c r="AN38" i="5"/>
  <c r="AM38" i="5"/>
  <c r="AJ38" i="5"/>
  <c r="AI38" i="5"/>
  <c r="AN37" i="5"/>
  <c r="AM37" i="5"/>
  <c r="AJ37" i="5"/>
  <c r="AI37" i="5"/>
  <c r="AN36" i="5"/>
  <c r="AM36" i="5"/>
  <c r="AJ36" i="5"/>
  <c r="AI36" i="5"/>
  <c r="AO36" i="5"/>
  <c r="AO38" i="5"/>
  <c r="AO40" i="5"/>
  <c r="AO42" i="5"/>
  <c r="AO44" i="5"/>
  <c r="AP37" i="5"/>
  <c r="AO37" i="5"/>
  <c r="AP43" i="5"/>
  <c r="AO43" i="5"/>
  <c r="AP46" i="5"/>
  <c r="AO46" i="5"/>
  <c r="AJ64" i="5"/>
  <c r="AO47" i="5"/>
  <c r="AP48" i="5"/>
  <c r="AO48" i="5"/>
  <c r="AO49" i="5"/>
  <c r="AP50" i="5"/>
  <c r="AO50" i="5"/>
  <c r="AO51" i="5"/>
  <c r="AO52" i="5"/>
  <c r="AO53" i="5"/>
  <c r="AO54" i="5"/>
  <c r="AK61" i="5"/>
  <c r="AP63" i="5"/>
  <c r="AQ63" i="5"/>
  <c r="AO63" i="5"/>
  <c r="AP39" i="5"/>
  <c r="AO39" i="5"/>
  <c r="AP41" i="5"/>
  <c r="AO41" i="5"/>
  <c r="AL47" i="5"/>
  <c r="AK47" i="5"/>
  <c r="AL49" i="5"/>
  <c r="AQ49" i="5"/>
  <c r="AK49" i="5"/>
  <c r="AL60" i="5"/>
  <c r="AK60" i="5"/>
  <c r="AP61" i="5"/>
  <c r="AQ61" i="5"/>
  <c r="AO61" i="5"/>
  <c r="AP45" i="5"/>
  <c r="AO45" i="5"/>
  <c r="AP62" i="5"/>
  <c r="AQ62" i="5"/>
  <c r="AO62" i="5"/>
  <c r="AI64" i="5"/>
  <c r="AK36" i="5"/>
  <c r="AK37" i="5"/>
  <c r="AL38" i="5"/>
  <c r="AK38" i="5"/>
  <c r="AK39" i="5"/>
  <c r="AL40" i="5"/>
  <c r="AK40" i="5"/>
  <c r="AK41" i="5"/>
  <c r="AL42" i="5"/>
  <c r="AK42" i="5"/>
  <c r="AK43" i="5"/>
  <c r="AL44" i="5"/>
  <c r="AK44" i="5"/>
  <c r="AK45" i="5"/>
  <c r="AL46" i="5"/>
  <c r="AQ46" i="5"/>
  <c r="AK46" i="5"/>
  <c r="AL54" i="5"/>
  <c r="AP60" i="5"/>
  <c r="AQ60" i="5"/>
  <c r="AO60" i="5"/>
  <c r="AK62" i="5"/>
  <c r="AL63" i="5"/>
  <c r="AL51" i="5"/>
  <c r="AQ51" i="5"/>
  <c r="AP52" i="5"/>
  <c r="AL53" i="5"/>
  <c r="AP54" i="5"/>
  <c r="AQ54" i="5"/>
  <c r="AL55" i="5"/>
  <c r="AL56" i="5"/>
  <c r="AQ56" i="5"/>
  <c r="AL57" i="5"/>
  <c r="AL58" i="5"/>
  <c r="AQ58" i="5"/>
  <c r="AL59" i="5"/>
  <c r="AQ59" i="5"/>
  <c r="AL62" i="5"/>
  <c r="AL37" i="5"/>
  <c r="AQ37" i="5"/>
  <c r="AP38" i="5"/>
  <c r="AL39" i="5"/>
  <c r="AQ39" i="5"/>
  <c r="AP40" i="5"/>
  <c r="AL41" i="5"/>
  <c r="AP42" i="5"/>
  <c r="AQ42" i="5"/>
  <c r="AL43" i="5"/>
  <c r="AP44" i="5"/>
  <c r="AL45" i="5"/>
  <c r="AQ45" i="5"/>
  <c r="AP47" i="5"/>
  <c r="AQ47" i="5"/>
  <c r="AL48" i="5"/>
  <c r="AQ48" i="5"/>
  <c r="AL50" i="5"/>
  <c r="AL52" i="5"/>
  <c r="AL36" i="5"/>
  <c r="AP36" i="5"/>
  <c r="AN64" i="5"/>
  <c r="AM64" i="5"/>
  <c r="AQ38" i="5"/>
  <c r="AQ44" i="5"/>
  <c r="AQ53" i="5"/>
  <c r="AQ55" i="5"/>
  <c r="AQ57" i="5"/>
  <c r="AQ41" i="5"/>
  <c r="AQ50" i="5"/>
  <c r="AQ40" i="5"/>
  <c r="AQ43" i="5"/>
  <c r="AL64" i="5"/>
  <c r="AQ52" i="5"/>
  <c r="AP64" i="5"/>
  <c r="AQ36" i="5"/>
  <c r="AQ65" i="5"/>
  <c r="AQ66" i="5"/>
  <c r="AQ64" i="5"/>
  <c r="R28" i="5"/>
  <c r="Q28" i="5"/>
  <c r="N28" i="5"/>
  <c r="M28" i="5"/>
  <c r="O28" i="5"/>
  <c r="R22" i="5"/>
  <c r="Q22" i="5"/>
  <c r="N22" i="5"/>
  <c r="M22" i="5"/>
  <c r="O22" i="5"/>
  <c r="R23" i="5"/>
  <c r="Q23" i="5"/>
  <c r="N23" i="5"/>
  <c r="M23" i="5"/>
  <c r="R16" i="5"/>
  <c r="Q16" i="5"/>
  <c r="N16" i="5"/>
  <c r="M16" i="5"/>
  <c r="R25" i="5"/>
  <c r="Q25" i="5"/>
  <c r="N25" i="5"/>
  <c r="M25" i="5"/>
  <c r="R9" i="5"/>
  <c r="Q9" i="5"/>
  <c r="N9" i="5"/>
  <c r="M9" i="5"/>
  <c r="R17" i="5"/>
  <c r="Q17" i="5"/>
  <c r="N17" i="5"/>
  <c r="M17" i="5"/>
  <c r="R20" i="5"/>
  <c r="Q20" i="5"/>
  <c r="N20" i="5"/>
  <c r="M20" i="5"/>
  <c r="R12" i="5"/>
  <c r="Q12" i="5"/>
  <c r="N12" i="5"/>
  <c r="M12" i="5"/>
  <c r="R11" i="5"/>
  <c r="Q11" i="5"/>
  <c r="N11" i="5"/>
  <c r="M11" i="5"/>
  <c r="R27" i="5"/>
  <c r="Q27" i="5"/>
  <c r="N27" i="5"/>
  <c r="M27" i="5"/>
  <c r="R7" i="5"/>
  <c r="Q7" i="5"/>
  <c r="N7" i="5"/>
  <c r="M7" i="5"/>
  <c r="R13" i="5"/>
  <c r="Q13" i="5"/>
  <c r="N13" i="5"/>
  <c r="M13" i="5"/>
  <c r="R6" i="5"/>
  <c r="Q6" i="5"/>
  <c r="N6" i="5"/>
  <c r="M6" i="5"/>
  <c r="R15" i="5"/>
  <c r="Q15" i="5"/>
  <c r="N15" i="5"/>
  <c r="M15" i="5"/>
  <c r="R8" i="5"/>
  <c r="Q8" i="5"/>
  <c r="N8" i="5"/>
  <c r="M8" i="5"/>
  <c r="R4" i="5"/>
  <c r="Q4" i="5"/>
  <c r="S4" i="5"/>
  <c r="N4" i="5"/>
  <c r="M4" i="5"/>
  <c r="R24" i="5"/>
  <c r="Q24" i="5"/>
  <c r="S24" i="5"/>
  <c r="N24" i="5"/>
  <c r="M24" i="5"/>
  <c r="R19" i="5"/>
  <c r="Q19" i="5"/>
  <c r="S19" i="5"/>
  <c r="N19" i="5"/>
  <c r="M19" i="5"/>
  <c r="R5" i="5"/>
  <c r="Q5" i="5"/>
  <c r="S5" i="5"/>
  <c r="N5" i="5"/>
  <c r="M5" i="5"/>
  <c r="R26" i="5"/>
  <c r="Q26" i="5"/>
  <c r="S26" i="5"/>
  <c r="N26" i="5"/>
  <c r="M26" i="5"/>
  <c r="R10" i="5"/>
  <c r="Q10" i="5"/>
  <c r="S10" i="5"/>
  <c r="N10" i="5"/>
  <c r="M10" i="5"/>
  <c r="R14" i="5"/>
  <c r="Q14" i="5"/>
  <c r="S14" i="5"/>
  <c r="N14" i="5"/>
  <c r="M14" i="5"/>
  <c r="R18" i="5"/>
  <c r="Q18" i="5"/>
  <c r="S18" i="5"/>
  <c r="N18" i="5"/>
  <c r="M18" i="5"/>
  <c r="R21" i="5"/>
  <c r="Q21" i="5"/>
  <c r="S21" i="5"/>
  <c r="N21" i="5"/>
  <c r="M21" i="5"/>
  <c r="G10" i="5"/>
  <c r="F10" i="5"/>
  <c r="H10" i="5"/>
  <c r="C10" i="5"/>
  <c r="B10" i="5"/>
  <c r="D10" i="5"/>
  <c r="G16" i="5"/>
  <c r="F16" i="5"/>
  <c r="H16" i="5"/>
  <c r="C16" i="5"/>
  <c r="B16" i="5"/>
  <c r="D16" i="5"/>
  <c r="G18" i="5"/>
  <c r="F18" i="5"/>
  <c r="H18" i="5"/>
  <c r="C18" i="5"/>
  <c r="B18" i="5"/>
  <c r="D18" i="5"/>
  <c r="G12" i="5"/>
  <c r="F12" i="5"/>
  <c r="H12" i="5"/>
  <c r="C12" i="5"/>
  <c r="B12" i="5"/>
  <c r="D12" i="5"/>
  <c r="G15" i="5"/>
  <c r="F15" i="5"/>
  <c r="H15" i="5"/>
  <c r="C15" i="5"/>
  <c r="B15" i="5"/>
  <c r="D15" i="5"/>
  <c r="G6" i="5"/>
  <c r="F6" i="5"/>
  <c r="H6" i="5"/>
  <c r="C6" i="5"/>
  <c r="B6" i="5"/>
  <c r="D6" i="5"/>
  <c r="G5" i="5"/>
  <c r="F5" i="5"/>
  <c r="H5" i="5"/>
  <c r="C5" i="5"/>
  <c r="B5" i="5"/>
  <c r="D5" i="5"/>
  <c r="G7" i="5"/>
  <c r="F7" i="5"/>
  <c r="H7" i="5"/>
  <c r="C7" i="5"/>
  <c r="B7" i="5"/>
  <c r="D7" i="5"/>
  <c r="G13" i="5"/>
  <c r="F13" i="5"/>
  <c r="H13" i="5"/>
  <c r="C13" i="5"/>
  <c r="B13" i="5"/>
  <c r="D13" i="5"/>
  <c r="G11" i="5"/>
  <c r="F11" i="5"/>
  <c r="H11" i="5"/>
  <c r="C11" i="5"/>
  <c r="B11" i="5"/>
  <c r="D11" i="5"/>
  <c r="G8" i="5"/>
  <c r="F8" i="5"/>
  <c r="H8" i="5"/>
  <c r="C8" i="5"/>
  <c r="B8" i="5"/>
  <c r="D8" i="5"/>
  <c r="G17" i="5"/>
  <c r="F17" i="5"/>
  <c r="H17" i="5"/>
  <c r="C17" i="5"/>
  <c r="B17" i="5"/>
  <c r="D17" i="5"/>
  <c r="G14" i="5"/>
  <c r="F14" i="5"/>
  <c r="H14" i="5"/>
  <c r="C14" i="5"/>
  <c r="B14" i="5"/>
  <c r="D14" i="5"/>
  <c r="G9" i="5"/>
  <c r="F9" i="5"/>
  <c r="H9" i="5"/>
  <c r="C9" i="5"/>
  <c r="B9" i="5"/>
  <c r="D9" i="5"/>
  <c r="G4" i="5"/>
  <c r="F4" i="5"/>
  <c r="H4" i="5"/>
  <c r="C4" i="5"/>
  <c r="B4" i="5"/>
  <c r="D4" i="5"/>
  <c r="AM11" i="5"/>
  <c r="AJ11" i="5"/>
  <c r="AI11" i="5"/>
  <c r="AK11" i="5"/>
  <c r="AM10" i="5"/>
  <c r="AJ10" i="5"/>
  <c r="AI10" i="5"/>
  <c r="AK10" i="5"/>
  <c r="AM9" i="5"/>
  <c r="AJ9" i="5"/>
  <c r="AI9" i="5"/>
  <c r="AM8" i="5"/>
  <c r="AJ8" i="5"/>
  <c r="AI8" i="5"/>
  <c r="AK8" i="5"/>
  <c r="AM7" i="5"/>
  <c r="AJ7" i="5"/>
  <c r="AI7" i="5"/>
  <c r="AK7" i="5"/>
  <c r="AM6" i="5"/>
  <c r="AJ6" i="5"/>
  <c r="AI6" i="5"/>
  <c r="AK6" i="5"/>
  <c r="AM5" i="5"/>
  <c r="AJ5" i="5"/>
  <c r="AI5" i="5"/>
  <c r="AM4" i="5"/>
  <c r="AJ4" i="5"/>
  <c r="AI4" i="5"/>
  <c r="AK4" i="5"/>
  <c r="AH12" i="5"/>
  <c r="AN12" i="5"/>
  <c r="AC18" i="5"/>
  <c r="AB18" i="5"/>
  <c r="AD18" i="5"/>
  <c r="Y18" i="5"/>
  <c r="X18" i="5"/>
  <c r="Z18" i="5"/>
  <c r="AC17" i="5"/>
  <c r="AB17" i="5"/>
  <c r="AD17" i="5"/>
  <c r="Y17" i="5"/>
  <c r="X17" i="5"/>
  <c r="Z17" i="5"/>
  <c r="AC16" i="5"/>
  <c r="AB16" i="5"/>
  <c r="AD16" i="5"/>
  <c r="Y16" i="5"/>
  <c r="X16" i="5"/>
  <c r="Z16" i="5"/>
  <c r="AC15" i="5"/>
  <c r="AB15" i="5"/>
  <c r="AD15" i="5"/>
  <c r="Y15" i="5"/>
  <c r="X15" i="5"/>
  <c r="Z15" i="5"/>
  <c r="AC14" i="5"/>
  <c r="AB14" i="5"/>
  <c r="AD14" i="5"/>
  <c r="Y14" i="5"/>
  <c r="X14" i="5"/>
  <c r="Z14" i="5"/>
  <c r="AC13" i="5"/>
  <c r="AB13" i="5"/>
  <c r="AD13" i="5"/>
  <c r="Y13" i="5"/>
  <c r="X13" i="5"/>
  <c r="Z13" i="5"/>
  <c r="AC12" i="5"/>
  <c r="AB12" i="5"/>
  <c r="AD12" i="5"/>
  <c r="Y12" i="5"/>
  <c r="X12" i="5"/>
  <c r="Z12" i="5"/>
  <c r="AC11" i="5"/>
  <c r="AB11" i="5"/>
  <c r="AD11" i="5"/>
  <c r="Y11" i="5"/>
  <c r="X11" i="5"/>
  <c r="Z11" i="5"/>
  <c r="AC10" i="5"/>
  <c r="AB10" i="5"/>
  <c r="AD10" i="5"/>
  <c r="Y10" i="5"/>
  <c r="X10" i="5"/>
  <c r="Z10" i="5"/>
  <c r="AC9" i="5"/>
  <c r="AB9" i="5"/>
  <c r="AD9" i="5"/>
  <c r="Y9" i="5"/>
  <c r="X9" i="5"/>
  <c r="Z9" i="5"/>
  <c r="AC8" i="5"/>
  <c r="AB8" i="5"/>
  <c r="AD8" i="5"/>
  <c r="Y8" i="5"/>
  <c r="X8" i="5"/>
  <c r="Z8" i="5"/>
  <c r="AC7" i="5"/>
  <c r="AB7" i="5"/>
  <c r="AD7" i="5"/>
  <c r="Y7" i="5"/>
  <c r="X7" i="5"/>
  <c r="Z7" i="5"/>
  <c r="AC6" i="5"/>
  <c r="AB6" i="5"/>
  <c r="AD6" i="5"/>
  <c r="Y6" i="5"/>
  <c r="X6" i="5"/>
  <c r="Z6" i="5"/>
  <c r="AB5" i="5"/>
  <c r="Y5" i="5"/>
  <c r="X5" i="5"/>
  <c r="AC4" i="5"/>
  <c r="AB4" i="5"/>
  <c r="AD4" i="5"/>
  <c r="Y4" i="5"/>
  <c r="X4" i="5"/>
  <c r="L29" i="5"/>
  <c r="A19" i="5"/>
  <c r="W19" i="5"/>
  <c r="G19" i="5"/>
  <c r="AE94" i="5"/>
  <c r="AA94" i="5"/>
  <c r="AE93" i="5"/>
  <c r="AA93" i="5"/>
  <c r="AE92" i="5"/>
  <c r="AA92" i="5"/>
  <c r="AE91" i="5"/>
  <c r="AA91" i="5"/>
  <c r="AE90" i="5"/>
  <c r="AA90" i="5"/>
  <c r="AE89" i="5"/>
  <c r="AA89" i="5"/>
  <c r="AE88" i="5"/>
  <c r="AA88" i="5"/>
  <c r="AE87" i="5"/>
  <c r="AA87" i="5"/>
  <c r="AE86" i="5"/>
  <c r="AA86" i="5"/>
  <c r="AE85" i="5"/>
  <c r="AA85" i="5"/>
  <c r="AE84" i="5"/>
  <c r="AA84" i="5"/>
  <c r="AE83" i="5"/>
  <c r="AA83" i="5"/>
  <c r="AE82" i="5"/>
  <c r="AA82" i="5"/>
  <c r="AE81" i="5"/>
  <c r="AA81" i="5"/>
  <c r="AE80" i="5"/>
  <c r="AA80" i="5"/>
  <c r="AE79" i="5"/>
  <c r="AA79" i="5"/>
  <c r="AE78" i="5"/>
  <c r="AA78" i="5"/>
  <c r="AE77" i="5"/>
  <c r="AA77" i="5"/>
  <c r="AE76" i="5"/>
  <c r="AA76" i="5"/>
  <c r="AE75" i="5"/>
  <c r="AA75" i="5"/>
  <c r="AE74" i="5"/>
  <c r="AA74" i="5"/>
  <c r="AE73" i="5"/>
  <c r="AA73" i="5"/>
  <c r="AE72" i="5"/>
  <c r="AA72" i="5"/>
  <c r="AE71" i="5"/>
  <c r="AA71" i="5"/>
  <c r="AE70" i="5"/>
  <c r="AA70" i="5"/>
  <c r="W95" i="5"/>
  <c r="X95" i="5"/>
  <c r="Y95" i="5"/>
  <c r="AB95" i="5"/>
  <c r="AC95" i="5"/>
  <c r="AE52" i="5"/>
  <c r="AA52" i="5"/>
  <c r="AE51" i="5"/>
  <c r="AA51" i="5"/>
  <c r="AE50" i="5"/>
  <c r="AA50" i="5"/>
  <c r="AE49" i="5"/>
  <c r="AA49" i="5"/>
  <c r="AE48" i="5"/>
  <c r="AA48" i="5"/>
  <c r="AC47" i="5"/>
  <c r="AB47" i="5"/>
  <c r="Y47" i="5"/>
  <c r="X47" i="5"/>
  <c r="AC46" i="5"/>
  <c r="AB46" i="5"/>
  <c r="Y46" i="5"/>
  <c r="X46" i="5"/>
  <c r="AC45" i="5"/>
  <c r="AB45" i="5"/>
  <c r="Y45" i="5"/>
  <c r="X45" i="5"/>
  <c r="AC44" i="5"/>
  <c r="AB44" i="5"/>
  <c r="Y44" i="5"/>
  <c r="X44" i="5"/>
  <c r="AC43" i="5"/>
  <c r="AB43" i="5"/>
  <c r="Y43" i="5"/>
  <c r="X43" i="5"/>
  <c r="AC42" i="5"/>
  <c r="AB42" i="5"/>
  <c r="Y42" i="5"/>
  <c r="X42" i="5"/>
  <c r="AC41" i="5"/>
  <c r="AB41" i="5"/>
  <c r="Y41" i="5"/>
  <c r="X41" i="5"/>
  <c r="AC40" i="5"/>
  <c r="AB40" i="5"/>
  <c r="Y40" i="5"/>
  <c r="X40" i="5"/>
  <c r="AC39" i="5"/>
  <c r="AB39" i="5"/>
  <c r="Y39" i="5"/>
  <c r="X39" i="5"/>
  <c r="AC38" i="5"/>
  <c r="AB38" i="5"/>
  <c r="Y38" i="5"/>
  <c r="X38" i="5"/>
  <c r="AC37" i="5"/>
  <c r="AB37" i="5"/>
  <c r="Y37" i="5"/>
  <c r="X37" i="5"/>
  <c r="AC36" i="5"/>
  <c r="AB36" i="5"/>
  <c r="Y36" i="5"/>
  <c r="X36" i="5"/>
  <c r="T78" i="5"/>
  <c r="P78" i="5"/>
  <c r="T84" i="5"/>
  <c r="P84" i="5"/>
  <c r="T70" i="5"/>
  <c r="P70" i="5"/>
  <c r="T81" i="5"/>
  <c r="P81" i="5"/>
  <c r="T76" i="5"/>
  <c r="P76" i="5"/>
  <c r="T80" i="5"/>
  <c r="P80" i="5"/>
  <c r="T75" i="5"/>
  <c r="P75" i="5"/>
  <c r="T77" i="5"/>
  <c r="P77" i="5"/>
  <c r="T86" i="5"/>
  <c r="P86" i="5"/>
  <c r="T74" i="5"/>
  <c r="P74" i="5"/>
  <c r="T73" i="5"/>
  <c r="P73" i="5"/>
  <c r="T72" i="5"/>
  <c r="P72" i="5"/>
  <c r="R90" i="5"/>
  <c r="Q90" i="5"/>
  <c r="N90" i="5"/>
  <c r="M90" i="5"/>
  <c r="R88" i="5"/>
  <c r="Q88" i="5"/>
  <c r="N88" i="5"/>
  <c r="M88" i="5"/>
  <c r="R79" i="5"/>
  <c r="Q79" i="5"/>
  <c r="N79" i="5"/>
  <c r="M79" i="5"/>
  <c r="R87" i="5"/>
  <c r="Q87" i="5"/>
  <c r="N87" i="5"/>
  <c r="M87" i="5"/>
  <c r="R82" i="5"/>
  <c r="Q82" i="5"/>
  <c r="N82" i="5"/>
  <c r="M82" i="5"/>
  <c r="R83" i="5"/>
  <c r="Q83" i="5"/>
  <c r="N83" i="5"/>
  <c r="M83" i="5"/>
  <c r="R85" i="5"/>
  <c r="Q85" i="5"/>
  <c r="N85" i="5"/>
  <c r="M85" i="5"/>
  <c r="Q89" i="5"/>
  <c r="S89" i="5"/>
  <c r="N89" i="5"/>
  <c r="M89" i="5"/>
  <c r="R71" i="5"/>
  <c r="Q71" i="5"/>
  <c r="S71" i="5"/>
  <c r="N71" i="5"/>
  <c r="M71" i="5"/>
  <c r="R46" i="5"/>
  <c r="Q46" i="5"/>
  <c r="S46" i="5"/>
  <c r="N46" i="5"/>
  <c r="M46" i="5"/>
  <c r="R37" i="5"/>
  <c r="Q37" i="5"/>
  <c r="S37" i="5"/>
  <c r="N37" i="5"/>
  <c r="M37" i="5"/>
  <c r="R42" i="5"/>
  <c r="Q42" i="5"/>
  <c r="S42" i="5"/>
  <c r="N42" i="5"/>
  <c r="M42" i="5"/>
  <c r="R57" i="5"/>
  <c r="Q57" i="5"/>
  <c r="S57" i="5"/>
  <c r="N57" i="5"/>
  <c r="M57" i="5"/>
  <c r="R48" i="5"/>
  <c r="Q48" i="5"/>
  <c r="S48" i="5"/>
  <c r="N48" i="5"/>
  <c r="M48" i="5"/>
  <c r="R44" i="5"/>
  <c r="Q44" i="5"/>
  <c r="S44" i="5"/>
  <c r="N44" i="5"/>
  <c r="M44" i="5"/>
  <c r="R39" i="5"/>
  <c r="Q39" i="5"/>
  <c r="S39" i="5"/>
  <c r="N39" i="5"/>
  <c r="M39" i="5"/>
  <c r="R54" i="5"/>
  <c r="Q54" i="5"/>
  <c r="S54" i="5"/>
  <c r="N54" i="5"/>
  <c r="M54" i="5"/>
  <c r="R51" i="5"/>
  <c r="Q51" i="5"/>
  <c r="S51" i="5"/>
  <c r="N51" i="5"/>
  <c r="M51" i="5"/>
  <c r="R38" i="5"/>
  <c r="Q38" i="5"/>
  <c r="S38" i="5"/>
  <c r="N38" i="5"/>
  <c r="M38" i="5"/>
  <c r="R59" i="5"/>
  <c r="Q59" i="5"/>
  <c r="S59" i="5"/>
  <c r="N59" i="5"/>
  <c r="M59" i="5"/>
  <c r="R43" i="5"/>
  <c r="Q43" i="5"/>
  <c r="S43" i="5"/>
  <c r="N43" i="5"/>
  <c r="M43" i="5"/>
  <c r="R49" i="5"/>
  <c r="Q49" i="5"/>
  <c r="S49" i="5"/>
  <c r="N49" i="5"/>
  <c r="M49" i="5"/>
  <c r="R52" i="5"/>
  <c r="Q52" i="5"/>
  <c r="S52" i="5"/>
  <c r="N52" i="5"/>
  <c r="M52" i="5"/>
  <c r="R53" i="5"/>
  <c r="Q53" i="5"/>
  <c r="S53" i="5"/>
  <c r="N53" i="5"/>
  <c r="M53" i="5"/>
  <c r="R56" i="5"/>
  <c r="Q56" i="5"/>
  <c r="S56" i="5"/>
  <c r="N56" i="5"/>
  <c r="M56" i="5"/>
  <c r="R47" i="5"/>
  <c r="Q47" i="5"/>
  <c r="S47" i="5"/>
  <c r="N47" i="5"/>
  <c r="M47" i="5"/>
  <c r="R41" i="5"/>
  <c r="Q41" i="5"/>
  <c r="S41" i="5"/>
  <c r="N41" i="5"/>
  <c r="M41" i="5"/>
  <c r="R55" i="5"/>
  <c r="Q55" i="5"/>
  <c r="S55" i="5"/>
  <c r="N55" i="5"/>
  <c r="M55" i="5"/>
  <c r="R36" i="5"/>
  <c r="Q36" i="5"/>
  <c r="S36" i="5"/>
  <c r="N36" i="5"/>
  <c r="M36" i="5"/>
  <c r="R60" i="5"/>
  <c r="Q60" i="5"/>
  <c r="S60" i="5"/>
  <c r="N60" i="5"/>
  <c r="M60" i="5"/>
  <c r="R45" i="5"/>
  <c r="Q45" i="5"/>
  <c r="S45" i="5"/>
  <c r="N45" i="5"/>
  <c r="M45" i="5"/>
  <c r="R50" i="5"/>
  <c r="Q50" i="5"/>
  <c r="S50" i="5"/>
  <c r="N50" i="5"/>
  <c r="M50" i="5"/>
  <c r="R58" i="5"/>
  <c r="Q58" i="5"/>
  <c r="S58" i="5"/>
  <c r="N58" i="5"/>
  <c r="M58" i="5"/>
  <c r="R40" i="5"/>
  <c r="Q40" i="5"/>
  <c r="S40" i="5"/>
  <c r="N40" i="5"/>
  <c r="M40" i="5"/>
  <c r="I82" i="5"/>
  <c r="C82" i="5"/>
  <c r="B82" i="5"/>
  <c r="I71" i="5"/>
  <c r="C71" i="5"/>
  <c r="B71" i="5"/>
  <c r="D71" i="5"/>
  <c r="I83" i="5"/>
  <c r="C83" i="5"/>
  <c r="B83" i="5"/>
  <c r="I79" i="5"/>
  <c r="C79" i="5"/>
  <c r="B79" i="5"/>
  <c r="I70" i="5"/>
  <c r="C70" i="5"/>
  <c r="B70" i="5"/>
  <c r="I78" i="5"/>
  <c r="C78" i="5"/>
  <c r="B78" i="5"/>
  <c r="D78" i="5"/>
  <c r="I74" i="5"/>
  <c r="C74" i="5"/>
  <c r="B74" i="5"/>
  <c r="I77" i="5"/>
  <c r="C77" i="5"/>
  <c r="B77" i="5"/>
  <c r="I75" i="5"/>
  <c r="C75" i="5"/>
  <c r="B75" i="5"/>
  <c r="I81" i="5"/>
  <c r="C81" i="5"/>
  <c r="B81" i="5"/>
  <c r="D81" i="5"/>
  <c r="I73" i="5"/>
  <c r="B73" i="5"/>
  <c r="I86" i="5"/>
  <c r="E86" i="5"/>
  <c r="I80" i="5"/>
  <c r="E80" i="5"/>
  <c r="I72" i="5"/>
  <c r="E72" i="5"/>
  <c r="I85" i="5"/>
  <c r="E85" i="5"/>
  <c r="I87" i="5"/>
  <c r="E87" i="5"/>
  <c r="I84" i="5"/>
  <c r="E84" i="5"/>
  <c r="I88" i="5"/>
  <c r="E88" i="5"/>
  <c r="I76" i="5"/>
  <c r="E76" i="5"/>
  <c r="I90" i="5"/>
  <c r="E90" i="5"/>
  <c r="I89" i="5"/>
  <c r="E89" i="5"/>
  <c r="G44" i="5"/>
  <c r="F44" i="5"/>
  <c r="H44" i="5"/>
  <c r="C44" i="5"/>
  <c r="B44" i="5"/>
  <c r="G36" i="5"/>
  <c r="F36" i="5"/>
  <c r="H36" i="5"/>
  <c r="C36" i="5"/>
  <c r="B36" i="5"/>
  <c r="G50" i="5"/>
  <c r="F50" i="5"/>
  <c r="H50" i="5"/>
  <c r="C50" i="5"/>
  <c r="B50" i="5"/>
  <c r="G43" i="5"/>
  <c r="F43" i="5"/>
  <c r="H43" i="5"/>
  <c r="C43" i="5"/>
  <c r="B43" i="5"/>
  <c r="G46" i="5"/>
  <c r="F46" i="5"/>
  <c r="H46" i="5"/>
  <c r="C46" i="5"/>
  <c r="B46" i="5"/>
  <c r="G52" i="5"/>
  <c r="F52" i="5"/>
  <c r="H52" i="5"/>
  <c r="C52" i="5"/>
  <c r="B52" i="5"/>
  <c r="G37" i="5"/>
  <c r="F37" i="5"/>
  <c r="H37" i="5"/>
  <c r="C37" i="5"/>
  <c r="B37" i="5"/>
  <c r="G39" i="5"/>
  <c r="F39" i="5"/>
  <c r="H39" i="5"/>
  <c r="C39" i="5"/>
  <c r="B39" i="5"/>
  <c r="G40" i="5"/>
  <c r="C40" i="5"/>
  <c r="B40" i="5"/>
  <c r="G57" i="5"/>
  <c r="F57" i="5"/>
  <c r="C57" i="5"/>
  <c r="B57" i="5"/>
  <c r="G49" i="5"/>
  <c r="F49" i="5"/>
  <c r="C49" i="5"/>
  <c r="B49" i="5"/>
  <c r="G48" i="5"/>
  <c r="F48" i="5"/>
  <c r="C48" i="5"/>
  <c r="B48" i="5"/>
  <c r="G42" i="5"/>
  <c r="F42" i="5"/>
  <c r="C42" i="5"/>
  <c r="B42" i="5"/>
  <c r="G47" i="5"/>
  <c r="F47" i="5"/>
  <c r="C47" i="5"/>
  <c r="B47" i="5"/>
  <c r="G55" i="5"/>
  <c r="F55" i="5"/>
  <c r="C55" i="5"/>
  <c r="B55" i="5"/>
  <c r="I45" i="5"/>
  <c r="E45" i="5"/>
  <c r="I58" i="5"/>
  <c r="E58" i="5"/>
  <c r="I41" i="5"/>
  <c r="E41" i="5"/>
  <c r="I51" i="5"/>
  <c r="E51" i="5"/>
  <c r="I56" i="5"/>
  <c r="E56" i="5"/>
  <c r="I38" i="5"/>
  <c r="E38" i="5"/>
  <c r="I54" i="5"/>
  <c r="E54" i="5"/>
  <c r="I53" i="5"/>
  <c r="E53" i="5"/>
  <c r="I59" i="5"/>
  <c r="E59" i="5"/>
  <c r="L91" i="5"/>
  <c r="G91" i="5"/>
  <c r="A91" i="5"/>
  <c r="L61" i="5"/>
  <c r="W53" i="5"/>
  <c r="A60" i="5"/>
  <c r="D39" i="5"/>
  <c r="D37" i="5"/>
  <c r="D52" i="5"/>
  <c r="D46" i="5"/>
  <c r="D43" i="5"/>
  <c r="D50" i="5"/>
  <c r="D36" i="5"/>
  <c r="D44" i="5"/>
  <c r="D77" i="5"/>
  <c r="D79" i="5"/>
  <c r="O40" i="5"/>
  <c r="O58" i="5"/>
  <c r="O50" i="5"/>
  <c r="O45" i="5"/>
  <c r="O60" i="5"/>
  <c r="O36" i="5"/>
  <c r="O55" i="5"/>
  <c r="O41" i="5"/>
  <c r="O47" i="5"/>
  <c r="O56" i="5"/>
  <c r="O53" i="5"/>
  <c r="O52" i="5"/>
  <c r="O49" i="5"/>
  <c r="O43" i="5"/>
  <c r="O59" i="5"/>
  <c r="O38" i="5"/>
  <c r="O51" i="5"/>
  <c r="O54" i="5"/>
  <c r="O39" i="5"/>
  <c r="O44" i="5"/>
  <c r="N29" i="5"/>
  <c r="O48" i="5"/>
  <c r="O57" i="5"/>
  <c r="O42" i="5"/>
  <c r="O37" i="5"/>
  <c r="O46" i="5"/>
  <c r="O71" i="5"/>
  <c r="O89" i="5"/>
  <c r="B19" i="5"/>
  <c r="S8" i="5"/>
  <c r="S15" i="5"/>
  <c r="S6" i="5"/>
  <c r="S13" i="5"/>
  <c r="S7" i="5"/>
  <c r="S27" i="5"/>
  <c r="S11" i="5"/>
  <c r="S12" i="5"/>
  <c r="S20" i="5"/>
  <c r="S17" i="5"/>
  <c r="S9" i="5"/>
  <c r="S25" i="5"/>
  <c r="S16" i="5"/>
  <c r="S23" i="5"/>
  <c r="S22" i="5"/>
  <c r="S28" i="5"/>
  <c r="D55" i="5"/>
  <c r="D47" i="5"/>
  <c r="D42" i="5"/>
  <c r="D48" i="5"/>
  <c r="D49" i="5"/>
  <c r="D57" i="5"/>
  <c r="D40" i="5"/>
  <c r="D75" i="5"/>
  <c r="D70" i="5"/>
  <c r="D82" i="5"/>
  <c r="S85" i="5"/>
  <c r="S83" i="5"/>
  <c r="S82" i="5"/>
  <c r="S87" i="5"/>
  <c r="S79" i="5"/>
  <c r="S88" i="5"/>
  <c r="S90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E73" i="5"/>
  <c r="D73" i="5"/>
  <c r="AP10" i="5"/>
  <c r="AO10" i="5"/>
  <c r="D21" i="5"/>
  <c r="D20" i="5"/>
  <c r="P21" i="5"/>
  <c r="O21" i="5"/>
  <c r="P18" i="5"/>
  <c r="O18" i="5"/>
  <c r="P14" i="5"/>
  <c r="O14" i="5"/>
  <c r="P10" i="5"/>
  <c r="O10" i="5"/>
  <c r="P26" i="5"/>
  <c r="O26" i="5"/>
  <c r="P5" i="5"/>
  <c r="O5" i="5"/>
  <c r="P19" i="5"/>
  <c r="O19" i="5"/>
  <c r="P24" i="5"/>
  <c r="O24" i="5"/>
  <c r="P4" i="5"/>
  <c r="O4" i="5"/>
  <c r="P8" i="5"/>
  <c r="O8" i="5"/>
  <c r="P15" i="5"/>
  <c r="O15" i="5"/>
  <c r="P6" i="5"/>
  <c r="O6" i="5"/>
  <c r="P13" i="5"/>
  <c r="O13" i="5"/>
  <c r="P7" i="5"/>
  <c r="O7" i="5"/>
  <c r="P27" i="5"/>
  <c r="O27" i="5"/>
  <c r="P11" i="5"/>
  <c r="O11" i="5"/>
  <c r="P12" i="5"/>
  <c r="O12" i="5"/>
  <c r="P20" i="5"/>
  <c r="O20" i="5"/>
  <c r="P17" i="5"/>
  <c r="O17" i="5"/>
  <c r="P9" i="5"/>
  <c r="O9" i="5"/>
  <c r="P25" i="5"/>
  <c r="O25" i="5"/>
  <c r="P16" i="5"/>
  <c r="O16" i="5"/>
  <c r="P23" i="5"/>
  <c r="O23" i="5"/>
  <c r="AE5" i="5"/>
  <c r="AD5" i="5"/>
  <c r="AP5" i="5"/>
  <c r="AO5" i="5"/>
  <c r="AP9" i="5"/>
  <c r="AO9" i="5"/>
  <c r="AC19" i="5"/>
  <c r="AP4" i="5"/>
  <c r="AO4" i="5"/>
  <c r="AP8" i="5"/>
  <c r="AO8" i="5"/>
  <c r="H21" i="5"/>
  <c r="H20" i="5"/>
  <c r="AP6" i="5"/>
  <c r="AO6" i="5"/>
  <c r="H55" i="5"/>
  <c r="H47" i="5"/>
  <c r="H42" i="5"/>
  <c r="H48" i="5"/>
  <c r="H49" i="5"/>
  <c r="H57" i="5"/>
  <c r="I40" i="5"/>
  <c r="H40" i="5"/>
  <c r="D74" i="5"/>
  <c r="D83" i="5"/>
  <c r="O85" i="5"/>
  <c r="O83" i="5"/>
  <c r="O82" i="5"/>
  <c r="O87" i="5"/>
  <c r="O79" i="5"/>
  <c r="O88" i="5"/>
  <c r="O90" i="5"/>
  <c r="Z36" i="5"/>
  <c r="Z37" i="5"/>
  <c r="Z38" i="5"/>
  <c r="Z39" i="5"/>
  <c r="Z40" i="5"/>
  <c r="Z41" i="5"/>
  <c r="Z42" i="5"/>
  <c r="Z43" i="5"/>
  <c r="Z44" i="5"/>
  <c r="Z45" i="5"/>
  <c r="Z46" i="5"/>
  <c r="Z47" i="5"/>
  <c r="Q29" i="5"/>
  <c r="Z4" i="5"/>
  <c r="Z5" i="5"/>
  <c r="AK5" i="5"/>
  <c r="AP7" i="5"/>
  <c r="AO7" i="5"/>
  <c r="AK9" i="5"/>
  <c r="AP11" i="5"/>
  <c r="AO11" i="5"/>
  <c r="P22" i="5"/>
  <c r="AJ12" i="5"/>
  <c r="AL10" i="5"/>
  <c r="AQ10" i="5"/>
  <c r="I4" i="5"/>
  <c r="I9" i="5"/>
  <c r="I14" i="5"/>
  <c r="I17" i="5"/>
  <c r="I8" i="5"/>
  <c r="I11" i="5"/>
  <c r="I13" i="5"/>
  <c r="I7" i="5"/>
  <c r="I5" i="5"/>
  <c r="I6" i="5"/>
  <c r="I15" i="5"/>
  <c r="I12" i="5"/>
  <c r="I18" i="5"/>
  <c r="I16" i="5"/>
  <c r="E10" i="5"/>
  <c r="I10" i="5"/>
  <c r="T21" i="5"/>
  <c r="T18" i="5"/>
  <c r="T14" i="5"/>
  <c r="U14" i="5"/>
  <c r="T10" i="5"/>
  <c r="T26" i="5"/>
  <c r="U26" i="5"/>
  <c r="T5" i="5"/>
  <c r="T19" i="5"/>
  <c r="T24" i="5"/>
  <c r="T4" i="5"/>
  <c r="T8" i="5"/>
  <c r="T15" i="5"/>
  <c r="U15" i="5"/>
  <c r="T6" i="5"/>
  <c r="T13" i="5"/>
  <c r="T7" i="5"/>
  <c r="T27" i="5"/>
  <c r="T11" i="5"/>
  <c r="T12" i="5"/>
  <c r="T20" i="5"/>
  <c r="T17" i="5"/>
  <c r="U17" i="5"/>
  <c r="T9" i="5"/>
  <c r="T25" i="5"/>
  <c r="U25" i="5"/>
  <c r="T16" i="5"/>
  <c r="T23" i="5"/>
  <c r="T22" i="5"/>
  <c r="P28" i="5"/>
  <c r="T28" i="5"/>
  <c r="AL11" i="5"/>
  <c r="U19" i="5"/>
  <c r="U13" i="5"/>
  <c r="U27" i="5"/>
  <c r="U23" i="5"/>
  <c r="AI12" i="5"/>
  <c r="X19" i="5"/>
  <c r="AM12" i="5"/>
  <c r="AL6" i="5"/>
  <c r="AL7" i="5"/>
  <c r="AE4" i="5"/>
  <c r="AE6" i="5"/>
  <c r="AE7" i="5"/>
  <c r="AL4" i="5"/>
  <c r="AL5" i="5"/>
  <c r="AL8" i="5"/>
  <c r="AL9" i="5"/>
  <c r="E4" i="5"/>
  <c r="E9" i="5"/>
  <c r="E14" i="5"/>
  <c r="J14" i="5"/>
  <c r="E17" i="5"/>
  <c r="E8" i="5"/>
  <c r="E11" i="5"/>
  <c r="E13" i="5"/>
  <c r="J13" i="5"/>
  <c r="E7" i="5"/>
  <c r="E5" i="5"/>
  <c r="E6" i="5"/>
  <c r="E15" i="5"/>
  <c r="J15" i="5"/>
  <c r="E12" i="5"/>
  <c r="E18" i="5"/>
  <c r="E16" i="5"/>
  <c r="AE8" i="5"/>
  <c r="AE9" i="5"/>
  <c r="AE10" i="5"/>
  <c r="AE11" i="5"/>
  <c r="AE12" i="5"/>
  <c r="AE13" i="5"/>
  <c r="AE14" i="5"/>
  <c r="AE15" i="5"/>
  <c r="AE16" i="5"/>
  <c r="AA17" i="5"/>
  <c r="AE17" i="5"/>
  <c r="AA18" i="5"/>
  <c r="AF85" i="5"/>
  <c r="AF88" i="5"/>
  <c r="AF83" i="5"/>
  <c r="AE18" i="5"/>
  <c r="AA4" i="5"/>
  <c r="AA5" i="5"/>
  <c r="AA6" i="5"/>
  <c r="AA7" i="5"/>
  <c r="AA8" i="5"/>
  <c r="AF8" i="5"/>
  <c r="AA9" i="5"/>
  <c r="AA10" i="5"/>
  <c r="AA11" i="5"/>
  <c r="AA12" i="5"/>
  <c r="AA13" i="5"/>
  <c r="AA14" i="5"/>
  <c r="AA15" i="5"/>
  <c r="AA16" i="5"/>
  <c r="AF18" i="5"/>
  <c r="C19" i="5"/>
  <c r="D19" i="5"/>
  <c r="F19" i="5"/>
  <c r="H19" i="5"/>
  <c r="M29" i="5"/>
  <c r="R29" i="5"/>
  <c r="Y19" i="5"/>
  <c r="AB19" i="5"/>
  <c r="Q61" i="5"/>
  <c r="AE40" i="5"/>
  <c r="AE41" i="5"/>
  <c r="AE42" i="5"/>
  <c r="AE43" i="5"/>
  <c r="J84" i="5"/>
  <c r="AE95" i="5"/>
  <c r="AA95" i="5"/>
  <c r="AF84" i="5"/>
  <c r="AF86" i="5"/>
  <c r="AA36" i="5"/>
  <c r="AE36" i="5"/>
  <c r="AA37" i="5"/>
  <c r="AA45" i="5"/>
  <c r="AA47" i="5"/>
  <c r="AE47" i="5"/>
  <c r="AE44" i="5"/>
  <c r="AE37" i="5"/>
  <c r="AA38" i="5"/>
  <c r="AE39" i="5"/>
  <c r="AE45" i="5"/>
  <c r="AE46" i="5"/>
  <c r="AE38" i="5"/>
  <c r="AF38" i="5"/>
  <c r="AA39" i="5"/>
  <c r="AA40" i="5"/>
  <c r="AA41" i="5"/>
  <c r="AF41" i="5"/>
  <c r="AA42" i="5"/>
  <c r="AA43" i="5"/>
  <c r="AA44" i="5"/>
  <c r="AA46" i="5"/>
  <c r="J72" i="5"/>
  <c r="T71" i="5"/>
  <c r="T89" i="5"/>
  <c r="T85" i="5"/>
  <c r="T83" i="5"/>
  <c r="T82" i="5"/>
  <c r="T87" i="5"/>
  <c r="T79" i="5"/>
  <c r="T90" i="5"/>
  <c r="T88" i="5"/>
  <c r="J76" i="5"/>
  <c r="J85" i="5"/>
  <c r="P71" i="5"/>
  <c r="P89" i="5"/>
  <c r="P85" i="5"/>
  <c r="P83" i="5"/>
  <c r="P82" i="5"/>
  <c r="P87" i="5"/>
  <c r="P79" i="5"/>
  <c r="P88" i="5"/>
  <c r="P90" i="5"/>
  <c r="F60" i="5"/>
  <c r="M61" i="5"/>
  <c r="X53" i="5"/>
  <c r="AB53" i="5"/>
  <c r="AF94" i="5"/>
  <c r="T36" i="5"/>
  <c r="T55" i="5"/>
  <c r="T47" i="5"/>
  <c r="T56" i="5"/>
  <c r="T53" i="5"/>
  <c r="T52" i="5"/>
  <c r="T49" i="5"/>
  <c r="T43" i="5"/>
  <c r="T59" i="5"/>
  <c r="T38" i="5"/>
  <c r="T51" i="5"/>
  <c r="T39" i="5"/>
  <c r="T44" i="5"/>
  <c r="T48" i="5"/>
  <c r="T57" i="5"/>
  <c r="T42" i="5"/>
  <c r="T37" i="5"/>
  <c r="P46" i="5"/>
  <c r="T46" i="5"/>
  <c r="J89" i="5"/>
  <c r="T40" i="5"/>
  <c r="T58" i="5"/>
  <c r="U58" i="5"/>
  <c r="T50" i="5"/>
  <c r="T45" i="5"/>
  <c r="P55" i="5"/>
  <c r="P41" i="5"/>
  <c r="E78" i="5"/>
  <c r="J78" i="5"/>
  <c r="E79" i="5"/>
  <c r="P36" i="5"/>
  <c r="P47" i="5"/>
  <c r="P56" i="5"/>
  <c r="P53" i="5"/>
  <c r="P52" i="5"/>
  <c r="P49" i="5"/>
  <c r="P43" i="5"/>
  <c r="P59" i="5"/>
  <c r="P38" i="5"/>
  <c r="P51" i="5"/>
  <c r="P54" i="5"/>
  <c r="P39" i="5"/>
  <c r="P44" i="5"/>
  <c r="P48" i="5"/>
  <c r="P57" i="5"/>
  <c r="U57" i="5"/>
  <c r="P42" i="5"/>
  <c r="P37" i="5"/>
  <c r="U37" i="5"/>
  <c r="E82" i="5"/>
  <c r="J82" i="5"/>
  <c r="P40" i="5"/>
  <c r="P58" i="5"/>
  <c r="P50" i="5"/>
  <c r="P45" i="5"/>
  <c r="P60" i="5"/>
  <c r="U60" i="5"/>
  <c r="T41" i="5"/>
  <c r="T54" i="5"/>
  <c r="E75" i="5"/>
  <c r="J75" i="5"/>
  <c r="E74" i="5"/>
  <c r="J74" i="5"/>
  <c r="E70" i="5"/>
  <c r="J70" i="5"/>
  <c r="E83" i="5"/>
  <c r="J83" i="5"/>
  <c r="E81" i="5"/>
  <c r="J81" i="5"/>
  <c r="E77" i="5"/>
  <c r="E71" i="5"/>
  <c r="J71" i="5"/>
  <c r="J88" i="5"/>
  <c r="J87" i="5"/>
  <c r="B91" i="5"/>
  <c r="F91" i="5"/>
  <c r="G60" i="5"/>
  <c r="C60" i="5"/>
  <c r="N61" i="5"/>
  <c r="R61" i="5"/>
  <c r="Y53" i="5"/>
  <c r="AC53" i="5"/>
  <c r="E55" i="5"/>
  <c r="E47" i="5"/>
  <c r="E42" i="5"/>
  <c r="E48" i="5"/>
  <c r="E49" i="5"/>
  <c r="E57" i="5"/>
  <c r="E40" i="5"/>
  <c r="I39" i="5"/>
  <c r="J39" i="5"/>
  <c r="I37" i="5"/>
  <c r="E52" i="5"/>
  <c r="I52" i="5"/>
  <c r="I46" i="5"/>
  <c r="I43" i="5"/>
  <c r="I50" i="5"/>
  <c r="I36" i="5"/>
  <c r="E44" i="5"/>
  <c r="I44" i="5"/>
  <c r="I55" i="5"/>
  <c r="I47" i="5"/>
  <c r="I42" i="5"/>
  <c r="I48" i="5"/>
  <c r="I49" i="5"/>
  <c r="I57" i="5"/>
  <c r="E39" i="5"/>
  <c r="E37" i="5"/>
  <c r="E46" i="5"/>
  <c r="E43" i="5"/>
  <c r="E50" i="5"/>
  <c r="E36" i="5"/>
  <c r="M91" i="5"/>
  <c r="AF72" i="5"/>
  <c r="AF73" i="5"/>
  <c r="J73" i="5"/>
  <c r="AF89" i="5"/>
  <c r="B60" i="5"/>
  <c r="J54" i="5"/>
  <c r="J38" i="5"/>
  <c r="AF39" i="5"/>
  <c r="J56" i="5"/>
  <c r="J51" i="5"/>
  <c r="J41" i="5"/>
  <c r="J58" i="5"/>
  <c r="AF46" i="5"/>
  <c r="AF48" i="5"/>
  <c r="AF49" i="5"/>
  <c r="AF50" i="5"/>
  <c r="AF51" i="5"/>
  <c r="AF52" i="5"/>
  <c r="C91" i="5"/>
  <c r="R91" i="5"/>
  <c r="AF71" i="5"/>
  <c r="J86" i="5"/>
  <c r="AF74" i="5"/>
  <c r="J45" i="5"/>
  <c r="AF76" i="5"/>
  <c r="J77" i="5"/>
  <c r="AF77" i="5"/>
  <c r="AF80" i="5"/>
  <c r="J79" i="5"/>
  <c r="AF81" i="5"/>
  <c r="AF82" i="5"/>
  <c r="U77" i="5"/>
  <c r="U75" i="5"/>
  <c r="AF90" i="5"/>
  <c r="U76" i="5"/>
  <c r="AF91" i="5"/>
  <c r="U81" i="5"/>
  <c r="AF92" i="5"/>
  <c r="U70" i="5"/>
  <c r="U84" i="5"/>
  <c r="U78" i="5"/>
  <c r="J53" i="5"/>
  <c r="J90" i="5"/>
  <c r="J80" i="5"/>
  <c r="AF75" i="5"/>
  <c r="AF78" i="5"/>
  <c r="AF79" i="5"/>
  <c r="U73" i="5"/>
  <c r="U74" i="5"/>
  <c r="AF87" i="5"/>
  <c r="U80" i="5"/>
  <c r="I91" i="5"/>
  <c r="N91" i="5"/>
  <c r="Q91" i="5"/>
  <c r="AF93" i="5"/>
  <c r="AP90" i="4"/>
  <c r="AL90" i="4"/>
  <c r="AP89" i="4"/>
  <c r="AL89" i="4"/>
  <c r="AP88" i="4"/>
  <c r="AL88" i="4"/>
  <c r="AP87" i="4"/>
  <c r="AL87" i="4"/>
  <c r="AP86" i="4"/>
  <c r="AL86" i="4"/>
  <c r="AP85" i="4"/>
  <c r="AL85" i="4"/>
  <c r="AP84" i="4"/>
  <c r="AL84" i="4"/>
  <c r="AP83" i="4"/>
  <c r="AL83" i="4"/>
  <c r="AP82" i="4"/>
  <c r="AL82" i="4"/>
  <c r="AM81" i="4"/>
  <c r="AJ81" i="4"/>
  <c r="AI81" i="4"/>
  <c r="AM80" i="4"/>
  <c r="AJ80" i="4"/>
  <c r="AI80" i="4"/>
  <c r="AM79" i="4"/>
  <c r="AJ79" i="4"/>
  <c r="AI79" i="4"/>
  <c r="AM78" i="4"/>
  <c r="AJ78" i="4"/>
  <c r="AI78" i="4"/>
  <c r="AM77" i="4"/>
  <c r="AJ77" i="4"/>
  <c r="AI77" i="4"/>
  <c r="AM76" i="4"/>
  <c r="AJ76" i="4"/>
  <c r="AI76" i="4"/>
  <c r="AM75" i="4"/>
  <c r="AJ75" i="4"/>
  <c r="AI75" i="4"/>
  <c r="AM74" i="4"/>
  <c r="AJ74" i="4"/>
  <c r="AI74" i="4"/>
  <c r="AM73" i="4"/>
  <c r="AJ73" i="4"/>
  <c r="AI73" i="4"/>
  <c r="AM72" i="4"/>
  <c r="AJ72" i="4"/>
  <c r="AI72" i="4"/>
  <c r="AE97" i="4"/>
  <c r="AA97" i="4"/>
  <c r="AE96" i="4"/>
  <c r="AA96" i="4"/>
  <c r="AE95" i="4"/>
  <c r="AA95" i="4"/>
  <c r="AE94" i="4"/>
  <c r="AA94" i="4"/>
  <c r="AE93" i="4"/>
  <c r="AA93" i="4"/>
  <c r="AE92" i="4"/>
  <c r="AA92" i="4"/>
  <c r="AE91" i="4"/>
  <c r="AA91" i="4"/>
  <c r="AE90" i="4"/>
  <c r="AA90" i="4"/>
  <c r="AE89" i="4"/>
  <c r="AA89" i="4"/>
  <c r="AE88" i="4"/>
  <c r="AA88" i="4"/>
  <c r="AE87" i="4"/>
  <c r="AA87" i="4"/>
  <c r="AE86" i="4"/>
  <c r="Y86" i="4"/>
  <c r="AE85" i="4"/>
  <c r="AA85" i="4"/>
  <c r="AE84" i="4"/>
  <c r="AA84" i="4"/>
  <c r="AE83" i="4"/>
  <c r="AA83" i="4"/>
  <c r="AE82" i="4"/>
  <c r="AA82" i="4"/>
  <c r="AC81" i="4"/>
  <c r="AB81" i="4"/>
  <c r="Y81" i="4"/>
  <c r="X81" i="4"/>
  <c r="AC80" i="4"/>
  <c r="AB80" i="4"/>
  <c r="Y80" i="4"/>
  <c r="X80" i="4"/>
  <c r="AC79" i="4"/>
  <c r="AB79" i="4"/>
  <c r="Y79" i="4"/>
  <c r="X79" i="4"/>
  <c r="AC78" i="4"/>
  <c r="AB78" i="4"/>
  <c r="Y78" i="4"/>
  <c r="X78" i="4"/>
  <c r="AC77" i="4"/>
  <c r="AB77" i="4"/>
  <c r="Y77" i="4"/>
  <c r="X77" i="4"/>
  <c r="AC76" i="4"/>
  <c r="AB76" i="4"/>
  <c r="Y76" i="4"/>
  <c r="X76" i="4"/>
  <c r="AC75" i="4"/>
  <c r="AB75" i="4"/>
  <c r="Y75" i="4"/>
  <c r="X75" i="4"/>
  <c r="AC74" i="4"/>
  <c r="AB74" i="4"/>
  <c r="Y74" i="4"/>
  <c r="X74" i="4"/>
  <c r="AC73" i="4"/>
  <c r="AB73" i="4"/>
  <c r="Y73" i="4"/>
  <c r="X73" i="4"/>
  <c r="AC72" i="4"/>
  <c r="AB72" i="4"/>
  <c r="Y72" i="4"/>
  <c r="X72" i="4"/>
  <c r="L65" i="4"/>
  <c r="R57" i="4"/>
  <c r="Q57" i="4"/>
  <c r="N57" i="4"/>
  <c r="M57" i="4"/>
  <c r="R63" i="4"/>
  <c r="Q63" i="4"/>
  <c r="N63" i="4"/>
  <c r="M63" i="4"/>
  <c r="R61" i="4"/>
  <c r="Q61" i="4"/>
  <c r="N61" i="4"/>
  <c r="M61" i="4"/>
  <c r="R48" i="4"/>
  <c r="Q48" i="4"/>
  <c r="N48" i="4"/>
  <c r="M48" i="4"/>
  <c r="R50" i="4"/>
  <c r="Q50" i="4"/>
  <c r="N50" i="4"/>
  <c r="M50" i="4"/>
  <c r="R47" i="4"/>
  <c r="Q47" i="4"/>
  <c r="N47" i="4"/>
  <c r="M47" i="4"/>
  <c r="R59" i="4"/>
  <c r="Q59" i="4"/>
  <c r="N59" i="4"/>
  <c r="M59" i="4"/>
  <c r="R45" i="4"/>
  <c r="Q45" i="4"/>
  <c r="N45" i="4"/>
  <c r="M45" i="4"/>
  <c r="R64" i="4"/>
  <c r="Q64" i="4"/>
  <c r="N64" i="4"/>
  <c r="M64" i="4"/>
  <c r="R52" i="4"/>
  <c r="Q52" i="4"/>
  <c r="N52" i="4"/>
  <c r="M52" i="4"/>
  <c r="R56" i="4"/>
  <c r="Q56" i="4"/>
  <c r="N56" i="4"/>
  <c r="M56" i="4"/>
  <c r="R58" i="4"/>
  <c r="Q58" i="4"/>
  <c r="N58" i="4"/>
  <c r="M58" i="4"/>
  <c r="R49" i="4"/>
  <c r="Q49" i="4"/>
  <c r="N49" i="4"/>
  <c r="M49" i="4"/>
  <c r="R62" i="4"/>
  <c r="Q62" i="4"/>
  <c r="N62" i="4"/>
  <c r="M62" i="4"/>
  <c r="R55" i="4"/>
  <c r="Q55" i="4"/>
  <c r="N55" i="4"/>
  <c r="M55" i="4"/>
  <c r="R53" i="4"/>
  <c r="Q53" i="4"/>
  <c r="N53" i="4"/>
  <c r="M53" i="4"/>
  <c r="R46" i="4"/>
  <c r="Q46" i="4"/>
  <c r="N46" i="4"/>
  <c r="M46" i="4"/>
  <c r="R51" i="4"/>
  <c r="Q51" i="4"/>
  <c r="N51" i="4"/>
  <c r="M51" i="4"/>
  <c r="R60" i="4"/>
  <c r="Q60" i="4"/>
  <c r="N60" i="4"/>
  <c r="M60" i="4"/>
  <c r="R54" i="4"/>
  <c r="Q54" i="4"/>
  <c r="N54" i="4"/>
  <c r="M54" i="4"/>
  <c r="F63" i="4"/>
  <c r="C63" i="4"/>
  <c r="B63" i="4"/>
  <c r="G62" i="4"/>
  <c r="F62" i="4"/>
  <c r="C62" i="4"/>
  <c r="B62" i="4"/>
  <c r="G61" i="4"/>
  <c r="F61" i="4"/>
  <c r="C61" i="4"/>
  <c r="B61" i="4"/>
  <c r="G60" i="4"/>
  <c r="F60" i="4"/>
  <c r="C60" i="4"/>
  <c r="B60" i="4"/>
  <c r="G59" i="4"/>
  <c r="F59" i="4"/>
  <c r="C59" i="4"/>
  <c r="B59" i="4"/>
  <c r="G58" i="4"/>
  <c r="F58" i="4"/>
  <c r="C58" i="4"/>
  <c r="B58" i="4"/>
  <c r="G57" i="4"/>
  <c r="F57" i="4"/>
  <c r="C57" i="4"/>
  <c r="B57" i="4"/>
  <c r="G56" i="4"/>
  <c r="F56" i="4"/>
  <c r="C56" i="4"/>
  <c r="B56" i="4"/>
  <c r="G55" i="4"/>
  <c r="F55" i="4"/>
  <c r="C55" i="4"/>
  <c r="B55" i="4"/>
  <c r="F54" i="4"/>
  <c r="C54" i="4"/>
  <c r="B54" i="4"/>
  <c r="G53" i="4"/>
  <c r="F53" i="4"/>
  <c r="C53" i="4"/>
  <c r="B53" i="4"/>
  <c r="G52" i="4"/>
  <c r="F52" i="4"/>
  <c r="C52" i="4"/>
  <c r="B52" i="4"/>
  <c r="G51" i="4"/>
  <c r="F51" i="4"/>
  <c r="C51" i="4"/>
  <c r="B51" i="4"/>
  <c r="G50" i="4"/>
  <c r="F50" i="4"/>
  <c r="C50" i="4"/>
  <c r="B50" i="4"/>
  <c r="G49" i="4"/>
  <c r="F49" i="4"/>
  <c r="C49" i="4"/>
  <c r="B49" i="4"/>
  <c r="G48" i="4"/>
  <c r="F48" i="4"/>
  <c r="C48" i="4"/>
  <c r="B48" i="4"/>
  <c r="G47" i="4"/>
  <c r="F47" i="4"/>
  <c r="C47" i="4"/>
  <c r="B47" i="4"/>
  <c r="G46" i="4"/>
  <c r="F46" i="4"/>
  <c r="C46" i="4"/>
  <c r="B46" i="4"/>
  <c r="G45" i="4"/>
  <c r="F45" i="4"/>
  <c r="C45" i="4"/>
  <c r="B45" i="4"/>
  <c r="AP31" i="4"/>
  <c r="AL31" i="4"/>
  <c r="AP30" i="4"/>
  <c r="AL30" i="4"/>
  <c r="AP29" i="4"/>
  <c r="AL29" i="4"/>
  <c r="AP28" i="4"/>
  <c r="AL28" i="4"/>
  <c r="AP27" i="4"/>
  <c r="AL27" i="4"/>
  <c r="AP26" i="4"/>
  <c r="AL26" i="4"/>
  <c r="AP25" i="4"/>
  <c r="AL25" i="4"/>
  <c r="AP24" i="4"/>
  <c r="AL24" i="4"/>
  <c r="AP23" i="4"/>
  <c r="AL23" i="4"/>
  <c r="AP22" i="4"/>
  <c r="AL22" i="4"/>
  <c r="AP21" i="4"/>
  <c r="AL21" i="4"/>
  <c r="AP20" i="4"/>
  <c r="AL20" i="4"/>
  <c r="AP19" i="4"/>
  <c r="AL19" i="4"/>
  <c r="AP18" i="4"/>
  <c r="AL18" i="4"/>
  <c r="AP17" i="4"/>
  <c r="AL17" i="4"/>
  <c r="AP16" i="4"/>
  <c r="AL16" i="4"/>
  <c r="AP15" i="4"/>
  <c r="AL15" i="4"/>
  <c r="AP14" i="4"/>
  <c r="AL14" i="4"/>
  <c r="AP13" i="4"/>
  <c r="AL13" i="4"/>
  <c r="AP12" i="4"/>
  <c r="AL12" i="4"/>
  <c r="AP11" i="4"/>
  <c r="AL11" i="4"/>
  <c r="AP10" i="4"/>
  <c r="AL10" i="4"/>
  <c r="AP9" i="4"/>
  <c r="AL9" i="4"/>
  <c r="AP8" i="4"/>
  <c r="AL8" i="4"/>
  <c r="AP7" i="4"/>
  <c r="AL7" i="4"/>
  <c r="AP6" i="4"/>
  <c r="AL6" i="4"/>
  <c r="AP5" i="4"/>
  <c r="AL5" i="4"/>
  <c r="AP4" i="4"/>
  <c r="AL4" i="4"/>
  <c r="AE27" i="4"/>
  <c r="AA27" i="4"/>
  <c r="AE26" i="4"/>
  <c r="AA26" i="4"/>
  <c r="AE25" i="4"/>
  <c r="AA25" i="4"/>
  <c r="AE24" i="4"/>
  <c r="AA24" i="4"/>
  <c r="AE23" i="4"/>
  <c r="AA23" i="4"/>
  <c r="AA22" i="4"/>
  <c r="AF22" i="4"/>
  <c r="AE21" i="4"/>
  <c r="AA21" i="4"/>
  <c r="AE20" i="4"/>
  <c r="AA20" i="4"/>
  <c r="AE19" i="4"/>
  <c r="AA19" i="4"/>
  <c r="AE18" i="4"/>
  <c r="AA18" i="4"/>
  <c r="AE17" i="4"/>
  <c r="AA17" i="4"/>
  <c r="AE16" i="4"/>
  <c r="AA16" i="4"/>
  <c r="AE15" i="4"/>
  <c r="AA15" i="4"/>
  <c r="AE14" i="4"/>
  <c r="AA14" i="4"/>
  <c r="AE13" i="4"/>
  <c r="AA13" i="4"/>
  <c r="AA12" i="4"/>
  <c r="AF12" i="4"/>
  <c r="AE11" i="4"/>
  <c r="AA11" i="4"/>
  <c r="AE10" i="4"/>
  <c r="AA10" i="4"/>
  <c r="AE9" i="4"/>
  <c r="AA9" i="4"/>
  <c r="AE8" i="4"/>
  <c r="AA8" i="4"/>
  <c r="AB7" i="4"/>
  <c r="Y7" i="4"/>
  <c r="X7" i="4"/>
  <c r="AB6" i="4"/>
  <c r="Y6" i="4"/>
  <c r="X6" i="4"/>
  <c r="AB5" i="4"/>
  <c r="Y5" i="4"/>
  <c r="X5" i="4"/>
  <c r="AB4" i="4"/>
  <c r="Y4" i="4"/>
  <c r="X4" i="4"/>
  <c r="R9" i="4"/>
  <c r="Q9" i="4"/>
  <c r="N9" i="4"/>
  <c r="M9" i="4"/>
  <c r="R29" i="4"/>
  <c r="Q29" i="4"/>
  <c r="N29" i="4"/>
  <c r="M29" i="4"/>
  <c r="R13" i="4"/>
  <c r="Q13" i="4"/>
  <c r="N13" i="4"/>
  <c r="M13" i="4"/>
  <c r="R32" i="4"/>
  <c r="Q32" i="4"/>
  <c r="N32" i="4"/>
  <c r="M32" i="4"/>
  <c r="R12" i="4"/>
  <c r="Q12" i="4"/>
  <c r="N12" i="4"/>
  <c r="M12" i="4"/>
  <c r="R16" i="4"/>
  <c r="Q16" i="4"/>
  <c r="N16" i="4"/>
  <c r="M16" i="4"/>
  <c r="R10" i="4"/>
  <c r="Q10" i="4"/>
  <c r="N10" i="4"/>
  <c r="M10" i="4"/>
  <c r="R14" i="4"/>
  <c r="Q14" i="4"/>
  <c r="N14" i="4"/>
  <c r="M14" i="4"/>
  <c r="R30" i="4"/>
  <c r="Q30" i="4"/>
  <c r="N30" i="4"/>
  <c r="M30" i="4"/>
  <c r="R4" i="4"/>
  <c r="Q4" i="4"/>
  <c r="N4" i="4"/>
  <c r="M4" i="4"/>
  <c r="R6" i="4"/>
  <c r="Q6" i="4"/>
  <c r="N6" i="4"/>
  <c r="M6" i="4"/>
  <c r="R19" i="4"/>
  <c r="Q19" i="4"/>
  <c r="N19" i="4"/>
  <c r="M19" i="4"/>
  <c r="R25" i="4"/>
  <c r="Q25" i="4"/>
  <c r="N25" i="4"/>
  <c r="M25" i="4"/>
  <c r="R35" i="4"/>
  <c r="Q35" i="4"/>
  <c r="N35" i="4"/>
  <c r="M35" i="4"/>
  <c r="R7" i="4"/>
  <c r="Q7" i="4"/>
  <c r="N7" i="4"/>
  <c r="M7" i="4"/>
  <c r="R5" i="4"/>
  <c r="Q5" i="4"/>
  <c r="N5" i="4"/>
  <c r="M5" i="4"/>
  <c r="R15" i="4"/>
  <c r="Q15" i="4"/>
  <c r="N15" i="4"/>
  <c r="M15" i="4"/>
  <c r="R22" i="4"/>
  <c r="Q22" i="4"/>
  <c r="N22" i="4"/>
  <c r="M22" i="4"/>
  <c r="R8" i="4"/>
  <c r="Q8" i="4"/>
  <c r="N8" i="4"/>
  <c r="M8" i="4"/>
  <c r="R21" i="4"/>
  <c r="Q21" i="4"/>
  <c r="N21" i="4"/>
  <c r="M21" i="4"/>
  <c r="O21" i="4"/>
  <c r="R23" i="4"/>
  <c r="Q23" i="4"/>
  <c r="N23" i="4"/>
  <c r="M23" i="4"/>
  <c r="O23" i="4"/>
  <c r="R18" i="4"/>
  <c r="Q18" i="4"/>
  <c r="N18" i="4"/>
  <c r="M18" i="4"/>
  <c r="O18" i="4"/>
  <c r="R26" i="4"/>
  <c r="Q26" i="4"/>
  <c r="N26" i="4"/>
  <c r="M26" i="4"/>
  <c r="O26" i="4"/>
  <c r="R11" i="4"/>
  <c r="Q11" i="4"/>
  <c r="N11" i="4"/>
  <c r="M11" i="4"/>
  <c r="O11" i="4"/>
  <c r="R31" i="4"/>
  <c r="Q31" i="4"/>
  <c r="N31" i="4"/>
  <c r="M31" i="4"/>
  <c r="O31" i="4"/>
  <c r="R17" i="4"/>
  <c r="Q17" i="4"/>
  <c r="N17" i="4"/>
  <c r="M17" i="4"/>
  <c r="O17" i="4"/>
  <c r="R33" i="4"/>
  <c r="Q33" i="4"/>
  <c r="N33" i="4"/>
  <c r="M33" i="4"/>
  <c r="O33" i="4"/>
  <c r="R24" i="4"/>
  <c r="Q24" i="4"/>
  <c r="N24" i="4"/>
  <c r="M24" i="4"/>
  <c r="O24" i="4"/>
  <c r="R28" i="4"/>
  <c r="Q28" i="4"/>
  <c r="N28" i="4"/>
  <c r="M28" i="4"/>
  <c r="O28" i="4"/>
  <c r="R27" i="4"/>
  <c r="Q27" i="4"/>
  <c r="N27" i="4"/>
  <c r="M27" i="4"/>
  <c r="O27" i="4"/>
  <c r="R34" i="4"/>
  <c r="Q34" i="4"/>
  <c r="N34" i="4"/>
  <c r="M34" i="4"/>
  <c r="O34" i="4"/>
  <c r="R20" i="4"/>
  <c r="Q20" i="4"/>
  <c r="N20" i="4"/>
  <c r="M20" i="4"/>
  <c r="O20" i="4"/>
  <c r="L36" i="4"/>
  <c r="G25" i="4"/>
  <c r="F25" i="4"/>
  <c r="C25" i="4"/>
  <c r="B25" i="4"/>
  <c r="G24" i="4"/>
  <c r="F24" i="4"/>
  <c r="C24" i="4"/>
  <c r="B24" i="4"/>
  <c r="G23" i="4"/>
  <c r="F23" i="4"/>
  <c r="C23" i="4"/>
  <c r="B23" i="4"/>
  <c r="G22" i="4"/>
  <c r="F22" i="4"/>
  <c r="C22" i="4"/>
  <c r="B22" i="4"/>
  <c r="G21" i="4"/>
  <c r="F21" i="4"/>
  <c r="C21" i="4"/>
  <c r="B21" i="4"/>
  <c r="G20" i="4"/>
  <c r="F20" i="4"/>
  <c r="C20" i="4"/>
  <c r="B20" i="4"/>
  <c r="G19" i="4"/>
  <c r="F19" i="4"/>
  <c r="C19" i="4"/>
  <c r="B19" i="4"/>
  <c r="G18" i="4"/>
  <c r="F18" i="4"/>
  <c r="C18" i="4"/>
  <c r="B18" i="4"/>
  <c r="F17" i="4"/>
  <c r="H17" i="4"/>
  <c r="C17" i="4"/>
  <c r="B17" i="4"/>
  <c r="D17" i="4"/>
  <c r="G16" i="4"/>
  <c r="F16" i="4"/>
  <c r="C16" i="4"/>
  <c r="B16" i="4"/>
  <c r="D16" i="4"/>
  <c r="G15" i="4"/>
  <c r="F15" i="4"/>
  <c r="C15" i="4"/>
  <c r="B15" i="4"/>
  <c r="D15" i="4"/>
  <c r="G14" i="4"/>
  <c r="F14" i="4"/>
  <c r="C14" i="4"/>
  <c r="B14" i="4"/>
  <c r="D14" i="4"/>
  <c r="G13" i="4"/>
  <c r="F13" i="4"/>
  <c r="C13" i="4"/>
  <c r="B13" i="4"/>
  <c r="D13" i="4"/>
  <c r="G12" i="4"/>
  <c r="F12" i="4"/>
  <c r="C12" i="4"/>
  <c r="B12" i="4"/>
  <c r="D12" i="4"/>
  <c r="G11" i="4"/>
  <c r="F11" i="4"/>
  <c r="H11" i="4"/>
  <c r="C11" i="4"/>
  <c r="B11" i="4"/>
  <c r="D11" i="4"/>
  <c r="G10" i="4"/>
  <c r="F10" i="4"/>
  <c r="H10" i="4"/>
  <c r="C10" i="4"/>
  <c r="B10" i="4"/>
  <c r="D10" i="4"/>
  <c r="G9" i="4"/>
  <c r="F9" i="4"/>
  <c r="H9" i="4"/>
  <c r="C9" i="4"/>
  <c r="B9" i="4"/>
  <c r="D9" i="4"/>
  <c r="G8" i="4"/>
  <c r="F8" i="4"/>
  <c r="H8" i="4"/>
  <c r="C8" i="4"/>
  <c r="B8" i="4"/>
  <c r="D8" i="4"/>
  <c r="G7" i="4"/>
  <c r="F7" i="4"/>
  <c r="H7" i="4"/>
  <c r="C7" i="4"/>
  <c r="B7" i="4"/>
  <c r="D7" i="4"/>
  <c r="G6" i="4"/>
  <c r="F6" i="4"/>
  <c r="H6" i="4"/>
  <c r="C6" i="4"/>
  <c r="B6" i="4"/>
  <c r="D6" i="4"/>
  <c r="G5" i="4"/>
  <c r="F5" i="4"/>
  <c r="H5" i="4"/>
  <c r="C5" i="4"/>
  <c r="B5" i="4"/>
  <c r="D5" i="4"/>
  <c r="G4" i="4"/>
  <c r="F4" i="4"/>
  <c r="C4" i="4"/>
  <c r="B4" i="4"/>
  <c r="AN91" i="4"/>
  <c r="AH91" i="4"/>
  <c r="W98" i="4"/>
  <c r="A64" i="4"/>
  <c r="AH32" i="4"/>
  <c r="W28" i="4"/>
  <c r="A26" i="4"/>
  <c r="AN32" i="4"/>
  <c r="AJ32" i="4"/>
  <c r="AC28" i="4"/>
  <c r="AM65" i="2"/>
  <c r="AJ65" i="2"/>
  <c r="AI65" i="2"/>
  <c r="AM64" i="2"/>
  <c r="AJ64" i="2"/>
  <c r="AI64" i="2"/>
  <c r="AM63" i="2"/>
  <c r="AJ63" i="2"/>
  <c r="AI63" i="2"/>
  <c r="AM62" i="2"/>
  <c r="AJ62" i="2"/>
  <c r="AI62" i="2"/>
  <c r="AM61" i="2"/>
  <c r="AJ61" i="2"/>
  <c r="AI61" i="2"/>
  <c r="AM60" i="2"/>
  <c r="AJ60" i="2"/>
  <c r="AI60" i="2"/>
  <c r="AM59" i="2"/>
  <c r="AJ59" i="2"/>
  <c r="AI59" i="2"/>
  <c r="AM58" i="2"/>
  <c r="AJ58" i="2"/>
  <c r="AI58" i="2"/>
  <c r="AM57" i="2"/>
  <c r="AJ57" i="2"/>
  <c r="AI57" i="2"/>
  <c r="AM56" i="2"/>
  <c r="AJ56" i="2"/>
  <c r="AI56" i="2"/>
  <c r="AM55" i="2"/>
  <c r="AJ55" i="2"/>
  <c r="AI55" i="2"/>
  <c r="AM54" i="2"/>
  <c r="AJ54" i="2"/>
  <c r="AI54" i="2"/>
  <c r="AM53" i="2"/>
  <c r="AJ53" i="2"/>
  <c r="AI53" i="2"/>
  <c r="AM52" i="2"/>
  <c r="AJ52" i="2"/>
  <c r="AI52" i="2"/>
  <c r="AM51" i="2"/>
  <c r="AJ51" i="2"/>
  <c r="AI51" i="2"/>
  <c r="AM50" i="2"/>
  <c r="AJ50" i="2"/>
  <c r="AI50" i="2"/>
  <c r="AM49" i="2"/>
  <c r="AJ49" i="2"/>
  <c r="AI49" i="2"/>
  <c r="AM48" i="2"/>
  <c r="AJ48" i="2"/>
  <c r="AI48" i="2"/>
  <c r="AM47" i="2"/>
  <c r="AJ47" i="2"/>
  <c r="AI47" i="2"/>
  <c r="AM46" i="2"/>
  <c r="AJ46" i="2"/>
  <c r="AI46" i="2"/>
  <c r="AM45" i="2"/>
  <c r="AJ45" i="2"/>
  <c r="AI45" i="2"/>
  <c r="AM44" i="2"/>
  <c r="AJ44" i="2"/>
  <c r="AI44" i="2"/>
  <c r="AM43" i="2"/>
  <c r="AJ43" i="2"/>
  <c r="AI43" i="2"/>
  <c r="AB62" i="2"/>
  <c r="Y62" i="2"/>
  <c r="X62" i="2"/>
  <c r="AB61" i="2"/>
  <c r="Y61" i="2"/>
  <c r="X61" i="2"/>
  <c r="AB60" i="2"/>
  <c r="Y60" i="2"/>
  <c r="X60" i="2"/>
  <c r="AB59" i="2"/>
  <c r="Y59" i="2"/>
  <c r="X59" i="2"/>
  <c r="AB58" i="2"/>
  <c r="Y58" i="2"/>
  <c r="X58" i="2"/>
  <c r="AB57" i="2"/>
  <c r="Y57" i="2"/>
  <c r="X57" i="2"/>
  <c r="AB56" i="2"/>
  <c r="Y56" i="2"/>
  <c r="X56" i="2"/>
  <c r="AC55" i="2"/>
  <c r="AB55" i="2"/>
  <c r="Y55" i="2"/>
  <c r="X55" i="2"/>
  <c r="AB54" i="2"/>
  <c r="Y54" i="2"/>
  <c r="X54" i="2"/>
  <c r="AB53" i="2"/>
  <c r="Y53" i="2"/>
  <c r="X53" i="2"/>
  <c r="AB52" i="2"/>
  <c r="Y52" i="2"/>
  <c r="X52" i="2"/>
  <c r="AB51" i="2"/>
  <c r="Y51" i="2"/>
  <c r="X51" i="2"/>
  <c r="AB50" i="2"/>
  <c r="Y50" i="2"/>
  <c r="X50" i="2"/>
  <c r="AB49" i="2"/>
  <c r="Y49" i="2"/>
  <c r="X49" i="2"/>
  <c r="AB48" i="2"/>
  <c r="Y48" i="2"/>
  <c r="X48" i="2"/>
  <c r="AB47" i="2"/>
  <c r="Y47" i="2"/>
  <c r="X47" i="2"/>
  <c r="AB46" i="2"/>
  <c r="Y46" i="2"/>
  <c r="X46" i="2"/>
  <c r="AB45" i="2"/>
  <c r="Y45" i="2"/>
  <c r="X45" i="2"/>
  <c r="AB44" i="2"/>
  <c r="Y44" i="2"/>
  <c r="X44" i="2"/>
  <c r="AB43" i="2"/>
  <c r="Y43" i="2"/>
  <c r="X43" i="2"/>
  <c r="L92" i="2"/>
  <c r="R66" i="2"/>
  <c r="Q66" i="2"/>
  <c r="N66" i="2"/>
  <c r="M66" i="2"/>
  <c r="R86" i="2"/>
  <c r="Q86" i="2"/>
  <c r="N86" i="2"/>
  <c r="M86" i="2"/>
  <c r="R91" i="2"/>
  <c r="Q91" i="2"/>
  <c r="N91" i="2"/>
  <c r="M91" i="2"/>
  <c r="Q82" i="2"/>
  <c r="S82" i="2"/>
  <c r="N82" i="2"/>
  <c r="M82" i="2"/>
  <c r="R65" i="2"/>
  <c r="Q65" i="2"/>
  <c r="N65" i="2"/>
  <c r="M65" i="2"/>
  <c r="R60" i="2"/>
  <c r="Q60" i="2"/>
  <c r="N60" i="2"/>
  <c r="M60" i="2"/>
  <c r="R90" i="2"/>
  <c r="Q90" i="2"/>
  <c r="N90" i="2"/>
  <c r="M90" i="2"/>
  <c r="R69" i="2"/>
  <c r="Q69" i="2"/>
  <c r="N69" i="2"/>
  <c r="M69" i="2"/>
  <c r="R59" i="2"/>
  <c r="Q59" i="2"/>
  <c r="N59" i="2"/>
  <c r="M59" i="2"/>
  <c r="R67" i="2"/>
  <c r="Q67" i="2"/>
  <c r="N67" i="2"/>
  <c r="M67" i="2"/>
  <c r="R58" i="2"/>
  <c r="Q58" i="2"/>
  <c r="N58" i="2"/>
  <c r="M58" i="2"/>
  <c r="R89" i="2"/>
  <c r="Q89" i="2"/>
  <c r="N89" i="2"/>
  <c r="M89" i="2"/>
  <c r="R88" i="2"/>
  <c r="Q88" i="2"/>
  <c r="N88" i="2"/>
  <c r="M88" i="2"/>
  <c r="R63" i="2"/>
  <c r="Q63" i="2"/>
  <c r="N63" i="2"/>
  <c r="M63" i="2"/>
  <c r="R51" i="2"/>
  <c r="Q51" i="2"/>
  <c r="N51" i="2"/>
  <c r="M51" i="2"/>
  <c r="R61" i="2"/>
  <c r="Q61" i="2"/>
  <c r="N61" i="2"/>
  <c r="M61" i="2"/>
  <c r="R79" i="2"/>
  <c r="Q79" i="2"/>
  <c r="N79" i="2"/>
  <c r="M79" i="2"/>
  <c r="R57" i="2"/>
  <c r="Q57" i="2"/>
  <c r="N57" i="2"/>
  <c r="M57" i="2"/>
  <c r="R64" i="2"/>
  <c r="Q64" i="2"/>
  <c r="N64" i="2"/>
  <c r="M64" i="2"/>
  <c r="R62" i="2"/>
  <c r="Q62" i="2"/>
  <c r="N62" i="2"/>
  <c r="M62" i="2"/>
  <c r="R74" i="2"/>
  <c r="Q74" i="2"/>
  <c r="N74" i="2"/>
  <c r="M74" i="2"/>
  <c r="R55" i="2"/>
  <c r="Q55" i="2"/>
  <c r="N55" i="2"/>
  <c r="M55" i="2"/>
  <c r="R71" i="2"/>
  <c r="Q71" i="2"/>
  <c r="N71" i="2"/>
  <c r="M71" i="2"/>
  <c r="R47" i="2"/>
  <c r="Q47" i="2"/>
  <c r="N47" i="2"/>
  <c r="M47" i="2"/>
  <c r="R77" i="2"/>
  <c r="Q77" i="2"/>
  <c r="N77" i="2"/>
  <c r="M77" i="2"/>
  <c r="R54" i="2"/>
  <c r="Q54" i="2"/>
  <c r="N54" i="2"/>
  <c r="M54" i="2"/>
  <c r="R72" i="2"/>
  <c r="Q72" i="2"/>
  <c r="N72" i="2"/>
  <c r="M72" i="2"/>
  <c r="R73" i="2"/>
  <c r="Q73" i="2"/>
  <c r="N73" i="2"/>
  <c r="M73" i="2"/>
  <c r="R80" i="2"/>
  <c r="Q80" i="2"/>
  <c r="N80" i="2"/>
  <c r="M80" i="2"/>
  <c r="R70" i="2"/>
  <c r="Q70" i="2"/>
  <c r="N70" i="2"/>
  <c r="M70" i="2"/>
  <c r="Q75" i="2"/>
  <c r="S75" i="2"/>
  <c r="N75" i="2"/>
  <c r="M75" i="2"/>
  <c r="R81" i="2"/>
  <c r="Q81" i="2"/>
  <c r="N81" i="2"/>
  <c r="M81" i="2"/>
  <c r="R76" i="2"/>
  <c r="Q76" i="2"/>
  <c r="N76" i="2"/>
  <c r="M76" i="2"/>
  <c r="R84" i="2"/>
  <c r="Q84" i="2"/>
  <c r="N84" i="2"/>
  <c r="M84" i="2"/>
  <c r="R48" i="2"/>
  <c r="Q48" i="2"/>
  <c r="N48" i="2"/>
  <c r="M48" i="2"/>
  <c r="R78" i="2"/>
  <c r="Q78" i="2"/>
  <c r="N78" i="2"/>
  <c r="M78" i="2"/>
  <c r="R83" i="2"/>
  <c r="Q83" i="2"/>
  <c r="N83" i="2"/>
  <c r="M83" i="2"/>
  <c r="R87" i="2"/>
  <c r="Q87" i="2"/>
  <c r="N87" i="2"/>
  <c r="M87" i="2"/>
  <c r="R85" i="2"/>
  <c r="Q85" i="2"/>
  <c r="N85" i="2"/>
  <c r="M85" i="2"/>
  <c r="R68" i="2"/>
  <c r="Q68" i="2"/>
  <c r="N68" i="2"/>
  <c r="M68" i="2"/>
  <c r="R44" i="2"/>
  <c r="Q44" i="2"/>
  <c r="N44" i="2"/>
  <c r="M44" i="2"/>
  <c r="R52" i="2"/>
  <c r="Q52" i="2"/>
  <c r="N52" i="2"/>
  <c r="M52" i="2"/>
  <c r="R46" i="2"/>
  <c r="Q46" i="2"/>
  <c r="N46" i="2"/>
  <c r="M46" i="2"/>
  <c r="R49" i="2"/>
  <c r="Q49" i="2"/>
  <c r="N49" i="2"/>
  <c r="M49" i="2"/>
  <c r="R43" i="2"/>
  <c r="Q43" i="2"/>
  <c r="N43" i="2"/>
  <c r="M43" i="2"/>
  <c r="R53" i="2"/>
  <c r="Q53" i="2"/>
  <c r="N53" i="2"/>
  <c r="M53" i="2"/>
  <c r="R56" i="2"/>
  <c r="Q56" i="2"/>
  <c r="N56" i="2"/>
  <c r="M56" i="2"/>
  <c r="R50" i="2"/>
  <c r="Q50" i="2"/>
  <c r="N50" i="2"/>
  <c r="M50" i="2"/>
  <c r="R45" i="2"/>
  <c r="Q45" i="2"/>
  <c r="N45" i="2"/>
  <c r="M45" i="2"/>
  <c r="F58" i="2"/>
  <c r="C58" i="2"/>
  <c r="B58" i="2"/>
  <c r="F57" i="2"/>
  <c r="C57" i="2"/>
  <c r="B57" i="2"/>
  <c r="F56" i="2"/>
  <c r="C56" i="2"/>
  <c r="B56" i="2"/>
  <c r="F55" i="2"/>
  <c r="C55" i="2"/>
  <c r="B55" i="2"/>
  <c r="F54" i="2"/>
  <c r="C54" i="2"/>
  <c r="B54" i="2"/>
  <c r="F53" i="2"/>
  <c r="C53" i="2"/>
  <c r="B53" i="2"/>
  <c r="F52" i="2"/>
  <c r="C52" i="2"/>
  <c r="B52" i="2"/>
  <c r="F51" i="2"/>
  <c r="C51" i="2"/>
  <c r="B51" i="2"/>
  <c r="F50" i="2"/>
  <c r="C50" i="2"/>
  <c r="B50" i="2"/>
  <c r="F49" i="2"/>
  <c r="C49" i="2"/>
  <c r="B49" i="2"/>
  <c r="F48" i="2"/>
  <c r="C48" i="2"/>
  <c r="B48" i="2"/>
  <c r="F47" i="2"/>
  <c r="C47" i="2"/>
  <c r="B47" i="2"/>
  <c r="F46" i="2"/>
  <c r="C46" i="2"/>
  <c r="B46" i="2"/>
  <c r="F45" i="2"/>
  <c r="C45" i="2"/>
  <c r="B45" i="2"/>
  <c r="F44" i="2"/>
  <c r="C44" i="2"/>
  <c r="B44" i="2"/>
  <c r="F43" i="2"/>
  <c r="C43" i="2"/>
  <c r="B43" i="2"/>
  <c r="AH66" i="2"/>
  <c r="W63" i="2"/>
  <c r="A59" i="2"/>
  <c r="G59" i="2"/>
  <c r="U38" i="5"/>
  <c r="U52" i="5"/>
  <c r="U79" i="5"/>
  <c r="AF45" i="5"/>
  <c r="J12" i="5"/>
  <c r="J7" i="5"/>
  <c r="J17" i="5"/>
  <c r="AQ11" i="5"/>
  <c r="O8" i="4"/>
  <c r="O22" i="4"/>
  <c r="O15" i="4"/>
  <c r="O5" i="4"/>
  <c r="O7" i="4"/>
  <c r="O35" i="4"/>
  <c r="O25" i="4"/>
  <c r="O19" i="4"/>
  <c r="O6" i="4"/>
  <c r="O4" i="4"/>
  <c r="O30" i="4"/>
  <c r="O14" i="4"/>
  <c r="O10" i="4"/>
  <c r="O16" i="4"/>
  <c r="O12" i="4"/>
  <c r="O32" i="4"/>
  <c r="O13" i="4"/>
  <c r="J46" i="5"/>
  <c r="U28" i="5"/>
  <c r="U16" i="5"/>
  <c r="U20" i="5"/>
  <c r="U7" i="5"/>
  <c r="U8" i="5"/>
  <c r="U5" i="5"/>
  <c r="U18" i="5"/>
  <c r="AQ6" i="5"/>
  <c r="Z57" i="5"/>
  <c r="AQ7" i="5"/>
  <c r="AF5" i="5"/>
  <c r="D18" i="4"/>
  <c r="D19" i="4"/>
  <c r="D20" i="4"/>
  <c r="D21" i="4"/>
  <c r="D22" i="4"/>
  <c r="D23" i="4"/>
  <c r="D24" i="4"/>
  <c r="D25" i="4"/>
  <c r="Z5" i="4"/>
  <c r="H55" i="4"/>
  <c r="H56" i="4"/>
  <c r="H57" i="4"/>
  <c r="H58" i="4"/>
  <c r="H59" i="4"/>
  <c r="H60" i="4"/>
  <c r="H61" i="4"/>
  <c r="H62" i="4"/>
  <c r="AD72" i="4"/>
  <c r="AD73" i="4"/>
  <c r="AD74" i="4"/>
  <c r="AD75" i="4"/>
  <c r="AD76" i="4"/>
  <c r="AD77" i="4"/>
  <c r="AD78" i="4"/>
  <c r="AD79" i="4"/>
  <c r="AD80" i="4"/>
  <c r="AD81" i="4"/>
  <c r="AK74" i="4"/>
  <c r="AK78" i="4"/>
  <c r="J18" i="5"/>
  <c r="J5" i="5"/>
  <c r="J8" i="5"/>
  <c r="J4" i="5"/>
  <c r="U42" i="5"/>
  <c r="U43" i="5"/>
  <c r="AF16" i="5"/>
  <c r="AF12" i="5"/>
  <c r="J48" i="5"/>
  <c r="U55" i="5"/>
  <c r="AF15" i="5"/>
  <c r="AF11" i="5"/>
  <c r="AQ8" i="5"/>
  <c r="AF6" i="5"/>
  <c r="U9" i="5"/>
  <c r="U11" i="5"/>
  <c r="U6" i="5"/>
  <c r="U24" i="5"/>
  <c r="U10" i="5"/>
  <c r="J10" i="5"/>
  <c r="AP12" i="5"/>
  <c r="H12" i="4"/>
  <c r="H13" i="4"/>
  <c r="H14" i="4"/>
  <c r="H15" i="4"/>
  <c r="H16" i="4"/>
  <c r="S20" i="4"/>
  <c r="S34" i="4"/>
  <c r="S27" i="4"/>
  <c r="S28" i="4"/>
  <c r="S24" i="4"/>
  <c r="S33" i="4"/>
  <c r="S17" i="4"/>
  <c r="S31" i="4"/>
  <c r="S11" i="4"/>
  <c r="S26" i="4"/>
  <c r="S18" i="4"/>
  <c r="S23" i="4"/>
  <c r="S21" i="4"/>
  <c r="S8" i="4"/>
  <c r="S22" i="4"/>
  <c r="S15" i="4"/>
  <c r="S5" i="4"/>
  <c r="S7" i="4"/>
  <c r="S35" i="4"/>
  <c r="S25" i="4"/>
  <c r="S19" i="4"/>
  <c r="S6" i="4"/>
  <c r="S4" i="4"/>
  <c r="S30" i="4"/>
  <c r="S14" i="4"/>
  <c r="S10" i="4"/>
  <c r="S16" i="4"/>
  <c r="S12" i="4"/>
  <c r="S32" i="4"/>
  <c r="S13" i="4"/>
  <c r="S29" i="4"/>
  <c r="S9" i="4"/>
  <c r="S38" i="4"/>
  <c r="Z6" i="4"/>
  <c r="D45" i="4"/>
  <c r="D46" i="4"/>
  <c r="D47" i="4"/>
  <c r="D48" i="4"/>
  <c r="D49" i="4"/>
  <c r="D50" i="4"/>
  <c r="D51" i="4"/>
  <c r="D52" i="4"/>
  <c r="D53" i="4"/>
  <c r="D54" i="4"/>
  <c r="S54" i="4"/>
  <c r="S60" i="4"/>
  <c r="S51" i="4"/>
  <c r="S46" i="4"/>
  <c r="S53" i="4"/>
  <c r="S55" i="4"/>
  <c r="S62" i="4"/>
  <c r="S49" i="4"/>
  <c r="S58" i="4"/>
  <c r="S56" i="4"/>
  <c r="S52" i="4"/>
  <c r="S64" i="4"/>
  <c r="S45" i="4"/>
  <c r="S67" i="4"/>
  <c r="S59" i="4"/>
  <c r="S47" i="4"/>
  <c r="S50" i="4"/>
  <c r="S48" i="4"/>
  <c r="S61" i="4"/>
  <c r="S63" i="4"/>
  <c r="S57" i="4"/>
  <c r="AK75" i="4"/>
  <c r="AK79" i="4"/>
  <c r="E91" i="5"/>
  <c r="J40" i="5"/>
  <c r="U54" i="5"/>
  <c r="J16" i="5"/>
  <c r="J6" i="5"/>
  <c r="J11" i="5"/>
  <c r="J9" i="5"/>
  <c r="AL12" i="5"/>
  <c r="U12" i="5"/>
  <c r="U4" i="5"/>
  <c r="U21" i="5"/>
  <c r="O70" i="2"/>
  <c r="O80" i="2"/>
  <c r="O73" i="2"/>
  <c r="O72" i="2"/>
  <c r="O54" i="2"/>
  <c r="O77" i="2"/>
  <c r="O47" i="2"/>
  <c r="O71" i="2"/>
  <c r="O55" i="2"/>
  <c r="O74" i="2"/>
  <c r="O62" i="2"/>
  <c r="O64" i="2"/>
  <c r="O57" i="2"/>
  <c r="O79" i="2"/>
  <c r="O61" i="2"/>
  <c r="O51" i="2"/>
  <c r="O63" i="2"/>
  <c r="O88" i="2"/>
  <c r="O89" i="2"/>
  <c r="O58" i="2"/>
  <c r="O67" i="2"/>
  <c r="O59" i="2"/>
  <c r="O69" i="2"/>
  <c r="O90" i="2"/>
  <c r="O60" i="2"/>
  <c r="Z55" i="2"/>
  <c r="Z56" i="2"/>
  <c r="Z60" i="2"/>
  <c r="AK44" i="2"/>
  <c r="AK48" i="2"/>
  <c r="AK56" i="2"/>
  <c r="AK60" i="2"/>
  <c r="AK64" i="2"/>
  <c r="D45" i="2"/>
  <c r="D49" i="2"/>
  <c r="D53" i="2"/>
  <c r="D57" i="2"/>
  <c r="S45" i="2"/>
  <c r="S50" i="2"/>
  <c r="S56" i="2"/>
  <c r="S53" i="2"/>
  <c r="S43" i="2"/>
  <c r="S49" i="2"/>
  <c r="S46" i="2"/>
  <c r="S52" i="2"/>
  <c r="S44" i="2"/>
  <c r="S68" i="2"/>
  <c r="S85" i="2"/>
  <c r="S87" i="2"/>
  <c r="S83" i="2"/>
  <c r="S78" i="2"/>
  <c r="S48" i="2"/>
  <c r="S84" i="2"/>
  <c r="S76" i="2"/>
  <c r="S81" i="2"/>
  <c r="O91" i="2"/>
  <c r="O86" i="2"/>
  <c r="O66" i="2"/>
  <c r="Z44" i="2"/>
  <c r="Z48" i="2"/>
  <c r="Z52" i="2"/>
  <c r="Z57" i="2"/>
  <c r="Z61" i="2"/>
  <c r="AK45" i="2"/>
  <c r="AK49" i="2"/>
  <c r="AK53" i="2"/>
  <c r="AK57" i="2"/>
  <c r="AK61" i="2"/>
  <c r="AK65" i="2"/>
  <c r="D44" i="2"/>
  <c r="D48" i="2"/>
  <c r="D52" i="2"/>
  <c r="D56" i="2"/>
  <c r="O65" i="2"/>
  <c r="O82" i="2"/>
  <c r="Z43" i="2"/>
  <c r="Z47" i="2"/>
  <c r="Z51" i="2"/>
  <c r="AK52" i="2"/>
  <c r="D43" i="2"/>
  <c r="D47" i="2"/>
  <c r="D51" i="2"/>
  <c r="D55" i="2"/>
  <c r="O45" i="2"/>
  <c r="O50" i="2"/>
  <c r="O56" i="2"/>
  <c r="O53" i="2"/>
  <c r="O43" i="2"/>
  <c r="O49" i="2"/>
  <c r="O46" i="2"/>
  <c r="O52" i="2"/>
  <c r="O44" i="2"/>
  <c r="O68" i="2"/>
  <c r="O85" i="2"/>
  <c r="O87" i="2"/>
  <c r="O83" i="2"/>
  <c r="O78" i="2"/>
  <c r="O48" i="2"/>
  <c r="O84" i="2"/>
  <c r="O76" i="2"/>
  <c r="O81" i="2"/>
  <c r="O75" i="2"/>
  <c r="S91" i="2"/>
  <c r="S86" i="2"/>
  <c r="S66" i="2"/>
  <c r="Z46" i="2"/>
  <c r="Z50" i="2"/>
  <c r="Z54" i="2"/>
  <c r="Z59" i="2"/>
  <c r="AK43" i="2"/>
  <c r="AK47" i="2"/>
  <c r="AK51" i="2"/>
  <c r="AK55" i="2"/>
  <c r="AK59" i="2"/>
  <c r="AK63" i="2"/>
  <c r="I47" i="2"/>
  <c r="H47" i="2"/>
  <c r="AE50" i="2"/>
  <c r="AD50" i="2"/>
  <c r="AP47" i="2"/>
  <c r="AQ47" i="2"/>
  <c r="AO47" i="2"/>
  <c r="AP63" i="2"/>
  <c r="AO63" i="2"/>
  <c r="F26" i="4"/>
  <c r="H4" i="4"/>
  <c r="AP77" i="4"/>
  <c r="AO77" i="4"/>
  <c r="I50" i="2"/>
  <c r="H50" i="2"/>
  <c r="I58" i="2"/>
  <c r="H58" i="2"/>
  <c r="AE45" i="2"/>
  <c r="AD45" i="2"/>
  <c r="AE53" i="2"/>
  <c r="AD53" i="2"/>
  <c r="AE62" i="2"/>
  <c r="AD62" i="2"/>
  <c r="AP46" i="2"/>
  <c r="AO46" i="2"/>
  <c r="AP54" i="2"/>
  <c r="AO54" i="2"/>
  <c r="AP58" i="2"/>
  <c r="AO58" i="2"/>
  <c r="G26" i="4"/>
  <c r="H26" i="4"/>
  <c r="I63" i="4"/>
  <c r="H63" i="4"/>
  <c r="AP72" i="4"/>
  <c r="AO72" i="4"/>
  <c r="AP80" i="4"/>
  <c r="AO80" i="4"/>
  <c r="AF43" i="5"/>
  <c r="I45" i="2"/>
  <c r="H45" i="2"/>
  <c r="E56" i="2"/>
  <c r="AE44" i="2"/>
  <c r="AD44" i="2"/>
  <c r="AE48" i="2"/>
  <c r="AD48" i="2"/>
  <c r="AE52" i="2"/>
  <c r="AD52" i="2"/>
  <c r="AE57" i="2"/>
  <c r="AD57" i="2"/>
  <c r="AE61" i="2"/>
  <c r="AD61" i="2"/>
  <c r="AP45" i="2"/>
  <c r="AO45" i="2"/>
  <c r="AP49" i="2"/>
  <c r="AO49" i="2"/>
  <c r="AP53" i="2"/>
  <c r="AO53" i="2"/>
  <c r="AP57" i="2"/>
  <c r="AO57" i="2"/>
  <c r="AP61" i="2"/>
  <c r="AO61" i="2"/>
  <c r="AP65" i="2"/>
  <c r="AO65" i="2"/>
  <c r="B26" i="4"/>
  <c r="D4" i="4"/>
  <c r="O29" i="4"/>
  <c r="O9" i="4"/>
  <c r="Z4" i="4"/>
  <c r="AE6" i="4"/>
  <c r="AD6" i="4"/>
  <c r="H45" i="4"/>
  <c r="H46" i="4"/>
  <c r="H47" i="4"/>
  <c r="H48" i="4"/>
  <c r="H49" i="4"/>
  <c r="H50" i="4"/>
  <c r="H51" i="4"/>
  <c r="H52" i="4"/>
  <c r="H53" i="4"/>
  <c r="I54" i="4"/>
  <c r="H54" i="4"/>
  <c r="O54" i="4"/>
  <c r="O60" i="4"/>
  <c r="O51" i="4"/>
  <c r="O46" i="4"/>
  <c r="O53" i="4"/>
  <c r="O55" i="4"/>
  <c r="O62" i="4"/>
  <c r="O49" i="4"/>
  <c r="O58" i="4"/>
  <c r="O56" i="4"/>
  <c r="O52" i="4"/>
  <c r="O64" i="4"/>
  <c r="O45" i="4"/>
  <c r="O59" i="4"/>
  <c r="O47" i="4"/>
  <c r="O50" i="4"/>
  <c r="O48" i="4"/>
  <c r="O61" i="4"/>
  <c r="O63" i="4"/>
  <c r="O57" i="4"/>
  <c r="AK73" i="4"/>
  <c r="AP75" i="4"/>
  <c r="AQ75" i="4"/>
  <c r="AO75" i="4"/>
  <c r="AK77" i="4"/>
  <c r="AP79" i="4"/>
  <c r="AO79" i="4"/>
  <c r="AK81" i="4"/>
  <c r="J44" i="5"/>
  <c r="U56" i="5"/>
  <c r="AF47" i="5"/>
  <c r="P29" i="5"/>
  <c r="E19" i="5"/>
  <c r="AF7" i="5"/>
  <c r="I43" i="2"/>
  <c r="H43" i="2"/>
  <c r="I51" i="2"/>
  <c r="H51" i="2"/>
  <c r="I55" i="2"/>
  <c r="H55" i="2"/>
  <c r="AE46" i="2"/>
  <c r="AD46" i="2"/>
  <c r="AE54" i="2"/>
  <c r="AD54" i="2"/>
  <c r="AE59" i="2"/>
  <c r="AD59" i="2"/>
  <c r="AP43" i="2"/>
  <c r="AO43" i="2"/>
  <c r="AP51" i="2"/>
  <c r="AO51" i="2"/>
  <c r="AP55" i="2"/>
  <c r="AO55" i="2"/>
  <c r="AP59" i="2"/>
  <c r="AO59" i="2"/>
  <c r="AE4" i="4"/>
  <c r="AD4" i="4"/>
  <c r="AP73" i="4"/>
  <c r="AO73" i="4"/>
  <c r="AP81" i="4"/>
  <c r="AO81" i="4"/>
  <c r="I46" i="2"/>
  <c r="H46" i="2"/>
  <c r="I54" i="2"/>
  <c r="H54" i="2"/>
  <c r="AE49" i="2"/>
  <c r="AD49" i="2"/>
  <c r="AE58" i="2"/>
  <c r="AD58" i="2"/>
  <c r="AP50" i="2"/>
  <c r="AO50" i="2"/>
  <c r="AP62" i="2"/>
  <c r="AO62" i="2"/>
  <c r="AE7" i="4"/>
  <c r="AD7" i="4"/>
  <c r="AP76" i="4"/>
  <c r="AO76" i="4"/>
  <c r="E44" i="2"/>
  <c r="E48" i="2"/>
  <c r="I49" i="2"/>
  <c r="H49" i="2"/>
  <c r="E52" i="2"/>
  <c r="I53" i="2"/>
  <c r="H53" i="2"/>
  <c r="I57" i="2"/>
  <c r="H57" i="2"/>
  <c r="E43" i="2"/>
  <c r="I44" i="2"/>
  <c r="H44" i="2"/>
  <c r="D46" i="2"/>
  <c r="E47" i="2"/>
  <c r="I48" i="2"/>
  <c r="H48" i="2"/>
  <c r="D50" i="2"/>
  <c r="E51" i="2"/>
  <c r="I52" i="2"/>
  <c r="H52" i="2"/>
  <c r="D54" i="2"/>
  <c r="E55" i="2"/>
  <c r="I56" i="2"/>
  <c r="J56" i="2"/>
  <c r="H56" i="2"/>
  <c r="D58" i="2"/>
  <c r="S70" i="2"/>
  <c r="S80" i="2"/>
  <c r="S73" i="2"/>
  <c r="S72" i="2"/>
  <c r="S54" i="2"/>
  <c r="S77" i="2"/>
  <c r="S47" i="2"/>
  <c r="S71" i="2"/>
  <c r="S55" i="2"/>
  <c r="S74" i="2"/>
  <c r="S62" i="2"/>
  <c r="S64" i="2"/>
  <c r="S57" i="2"/>
  <c r="S79" i="2"/>
  <c r="S61" i="2"/>
  <c r="S51" i="2"/>
  <c r="S63" i="2"/>
  <c r="S88" i="2"/>
  <c r="S89" i="2"/>
  <c r="S58" i="2"/>
  <c r="S67" i="2"/>
  <c r="S59" i="2"/>
  <c r="S69" i="2"/>
  <c r="S90" i="2"/>
  <c r="S60" i="2"/>
  <c r="S65" i="2"/>
  <c r="AE43" i="2"/>
  <c r="AD43" i="2"/>
  <c r="Z45" i="2"/>
  <c r="AE47" i="2"/>
  <c r="AD47" i="2"/>
  <c r="Z49" i="2"/>
  <c r="AE51" i="2"/>
  <c r="AD51" i="2"/>
  <c r="Z53" i="2"/>
  <c r="AD55" i="2"/>
  <c r="AE56" i="2"/>
  <c r="AD56" i="2"/>
  <c r="Z58" i="2"/>
  <c r="AE60" i="2"/>
  <c r="AD60" i="2"/>
  <c r="Z62" i="2"/>
  <c r="AL43" i="2"/>
  <c r="AP44" i="2"/>
  <c r="AO44" i="2"/>
  <c r="AK46" i="2"/>
  <c r="AL47" i="2"/>
  <c r="AP48" i="2"/>
  <c r="AO48" i="2"/>
  <c r="AK50" i="2"/>
  <c r="AL51" i="2"/>
  <c r="AQ51" i="2"/>
  <c r="AP52" i="2"/>
  <c r="AO52" i="2"/>
  <c r="AK54" i="2"/>
  <c r="AP56" i="2"/>
  <c r="AO56" i="2"/>
  <c r="AK58" i="2"/>
  <c r="AP60" i="2"/>
  <c r="AO60" i="2"/>
  <c r="AK62" i="2"/>
  <c r="AP64" i="2"/>
  <c r="AO64" i="2"/>
  <c r="C26" i="4"/>
  <c r="H18" i="4"/>
  <c r="H19" i="4"/>
  <c r="H20" i="4"/>
  <c r="H21" i="4"/>
  <c r="H22" i="4"/>
  <c r="H23" i="4"/>
  <c r="H24" i="4"/>
  <c r="H25" i="4"/>
  <c r="AE5" i="4"/>
  <c r="AF5" i="4"/>
  <c r="AD5" i="4"/>
  <c r="Z7" i="4"/>
  <c r="D55" i="4"/>
  <c r="D56" i="4"/>
  <c r="D57" i="4"/>
  <c r="D58" i="4"/>
  <c r="D59" i="4"/>
  <c r="D60" i="4"/>
  <c r="D61" i="4"/>
  <c r="D62" i="4"/>
  <c r="D63" i="4"/>
  <c r="Z72" i="4"/>
  <c r="Z73" i="4"/>
  <c r="Z74" i="4"/>
  <c r="Z75" i="4"/>
  <c r="Z76" i="4"/>
  <c r="Z77" i="4"/>
  <c r="Z78" i="4"/>
  <c r="Z79" i="4"/>
  <c r="Z80" i="4"/>
  <c r="Z81" i="4"/>
  <c r="AF82" i="4"/>
  <c r="AA86" i="4"/>
  <c r="AF86" i="4"/>
  <c r="Z86" i="4"/>
  <c r="AK72" i="4"/>
  <c r="AP74" i="4"/>
  <c r="AO74" i="4"/>
  <c r="AK76" i="4"/>
  <c r="AP78" i="4"/>
  <c r="AO78" i="4"/>
  <c r="AK80" i="4"/>
  <c r="P91" i="5"/>
  <c r="E60" i="5"/>
  <c r="AF14" i="5"/>
  <c r="AF10" i="5"/>
  <c r="U22" i="5"/>
  <c r="C59" i="2"/>
  <c r="E46" i="2"/>
  <c r="J46" i="2"/>
  <c r="E54" i="2"/>
  <c r="Q92" i="2"/>
  <c r="E45" i="2"/>
  <c r="E49" i="2"/>
  <c r="J49" i="2"/>
  <c r="E53" i="2"/>
  <c r="E57" i="2"/>
  <c r="AA51" i="2"/>
  <c r="E50" i="2"/>
  <c r="E58" i="2"/>
  <c r="J58" i="2"/>
  <c r="N92" i="2"/>
  <c r="AL55" i="2"/>
  <c r="R92" i="2"/>
  <c r="AL45" i="2"/>
  <c r="AL49" i="2"/>
  <c r="M92" i="2"/>
  <c r="AF37" i="5"/>
  <c r="U83" i="5"/>
  <c r="AF42" i="5"/>
  <c r="AF40" i="5"/>
  <c r="J37" i="5"/>
  <c r="U50" i="5"/>
  <c r="U44" i="5"/>
  <c r="U36" i="5"/>
  <c r="AA19" i="5"/>
  <c r="AF17" i="5"/>
  <c r="AF13" i="5"/>
  <c r="AF9" i="5"/>
  <c r="U51" i="5"/>
  <c r="U59" i="5"/>
  <c r="U49" i="5"/>
  <c r="U53" i="5"/>
  <c r="U47" i="5"/>
  <c r="J49" i="5"/>
  <c r="U46" i="5"/>
  <c r="AE19" i="5"/>
  <c r="AF4" i="5"/>
  <c r="I19" i="5"/>
  <c r="T29" i="5"/>
  <c r="J50" i="5"/>
  <c r="J57" i="5"/>
  <c r="J47" i="5"/>
  <c r="AQ9" i="5"/>
  <c r="U48" i="5"/>
  <c r="U39" i="5"/>
  <c r="U88" i="5"/>
  <c r="U85" i="5"/>
  <c r="J52" i="5"/>
  <c r="AF44" i="5"/>
  <c r="J36" i="5"/>
  <c r="J43" i="5"/>
  <c r="J42" i="5"/>
  <c r="J55" i="5"/>
  <c r="AQ5" i="5"/>
  <c r="P61" i="5"/>
  <c r="U41" i="5"/>
  <c r="U45" i="5"/>
  <c r="AA53" i="5"/>
  <c r="U86" i="5"/>
  <c r="U72" i="5"/>
  <c r="U90" i="5"/>
  <c r="U87" i="5"/>
  <c r="U82" i="5"/>
  <c r="U89" i="5"/>
  <c r="J59" i="5"/>
  <c r="AF70" i="5"/>
  <c r="J92" i="5"/>
  <c r="J93" i="5"/>
  <c r="J91" i="5"/>
  <c r="I60" i="5"/>
  <c r="T91" i="5"/>
  <c r="U71" i="5"/>
  <c r="AE53" i="5"/>
  <c r="AF36" i="5"/>
  <c r="AQ4" i="5"/>
  <c r="T61" i="5"/>
  <c r="U40" i="5"/>
  <c r="Y28" i="4"/>
  <c r="G64" i="4"/>
  <c r="AL76" i="4"/>
  <c r="AQ76" i="4"/>
  <c r="AE72" i="4"/>
  <c r="AE73" i="4"/>
  <c r="AL80" i="4"/>
  <c r="AQ80" i="4"/>
  <c r="AL77" i="4"/>
  <c r="AQ77" i="4"/>
  <c r="AE74" i="4"/>
  <c r="AE75" i="4"/>
  <c r="AE76" i="4"/>
  <c r="AF76" i="4"/>
  <c r="AE77" i="4"/>
  <c r="AE78" i="4"/>
  <c r="AE79" i="4"/>
  <c r="AE80" i="4"/>
  <c r="AF80" i="4"/>
  <c r="AE81" i="4"/>
  <c r="AL72" i="4"/>
  <c r="AL73" i="4"/>
  <c r="AQ73" i="4"/>
  <c r="AL81" i="4"/>
  <c r="AC98" i="4"/>
  <c r="AA72" i="4"/>
  <c r="AA73" i="4"/>
  <c r="AA74" i="4"/>
  <c r="AF74" i="4"/>
  <c r="AA75" i="4"/>
  <c r="AA76" i="4"/>
  <c r="AA77" i="4"/>
  <c r="AA78" i="4"/>
  <c r="AF78" i="4"/>
  <c r="AA79" i="4"/>
  <c r="AA80" i="4"/>
  <c r="AA81" i="4"/>
  <c r="AF85" i="4"/>
  <c r="AL74" i="4"/>
  <c r="AL75" i="4"/>
  <c r="AL78" i="4"/>
  <c r="AL79" i="4"/>
  <c r="AF79" i="4"/>
  <c r="AF84" i="4"/>
  <c r="AF83" i="4"/>
  <c r="T20" i="4"/>
  <c r="T27" i="4"/>
  <c r="P28" i="4"/>
  <c r="T24" i="4"/>
  <c r="P33" i="4"/>
  <c r="T17" i="4"/>
  <c r="P31" i="4"/>
  <c r="T11" i="4"/>
  <c r="P26" i="4"/>
  <c r="T18" i="4"/>
  <c r="P23" i="4"/>
  <c r="T21" i="4"/>
  <c r="P8" i="4"/>
  <c r="T22" i="4"/>
  <c r="P15" i="4"/>
  <c r="T5" i="4"/>
  <c r="P7" i="4"/>
  <c r="T25" i="4"/>
  <c r="P19" i="4"/>
  <c r="T6" i="4"/>
  <c r="P4" i="4"/>
  <c r="T30" i="4"/>
  <c r="P14" i="4"/>
  <c r="T10" i="4"/>
  <c r="P16" i="4"/>
  <c r="T12" i="4"/>
  <c r="P32" i="4"/>
  <c r="T13" i="4"/>
  <c r="P29" i="4"/>
  <c r="T9" i="4"/>
  <c r="AA6" i="4"/>
  <c r="AF8" i="4"/>
  <c r="I45" i="4"/>
  <c r="I46" i="4"/>
  <c r="I47" i="4"/>
  <c r="I48" i="4"/>
  <c r="I50" i="4"/>
  <c r="J50" i="4"/>
  <c r="I51" i="4"/>
  <c r="I52" i="4"/>
  <c r="I53" i="4"/>
  <c r="I55" i="4"/>
  <c r="I56" i="4"/>
  <c r="I57" i="4"/>
  <c r="I58" i="4"/>
  <c r="I59" i="4"/>
  <c r="E60" i="4"/>
  <c r="I60" i="4"/>
  <c r="E61" i="4"/>
  <c r="I61" i="4"/>
  <c r="J61" i="4"/>
  <c r="E62" i="4"/>
  <c r="J62" i="4"/>
  <c r="I62" i="4"/>
  <c r="E63" i="4"/>
  <c r="P54" i="4"/>
  <c r="P60" i="4"/>
  <c r="U60" i="4"/>
  <c r="P51" i="4"/>
  <c r="P46" i="4"/>
  <c r="P53" i="4"/>
  <c r="P55" i="4"/>
  <c r="P62" i="4"/>
  <c r="P49" i="4"/>
  <c r="P58" i="4"/>
  <c r="P56" i="4"/>
  <c r="P52" i="4"/>
  <c r="P64" i="4"/>
  <c r="P45" i="4"/>
  <c r="P59" i="4"/>
  <c r="U59" i="4"/>
  <c r="P47" i="4"/>
  <c r="P50" i="4"/>
  <c r="P48" i="4"/>
  <c r="P61" i="4"/>
  <c r="U61" i="4"/>
  <c r="P63" i="4"/>
  <c r="P57" i="4"/>
  <c r="Q36" i="4"/>
  <c r="E45" i="4"/>
  <c r="E46" i="4"/>
  <c r="E47" i="4"/>
  <c r="E48" i="4"/>
  <c r="E49" i="4"/>
  <c r="J49" i="4"/>
  <c r="I49" i="4"/>
  <c r="E50" i="4"/>
  <c r="E51" i="4"/>
  <c r="E52" i="4"/>
  <c r="J52" i="4"/>
  <c r="E53" i="4"/>
  <c r="E54" i="4"/>
  <c r="J54" i="4"/>
  <c r="E55" i="4"/>
  <c r="E56" i="4"/>
  <c r="E57" i="4"/>
  <c r="E58" i="4"/>
  <c r="E59" i="4"/>
  <c r="T54" i="4"/>
  <c r="T60" i="4"/>
  <c r="T51" i="4"/>
  <c r="T46" i="4"/>
  <c r="U46" i="4"/>
  <c r="T53" i="4"/>
  <c r="T55" i="4"/>
  <c r="T62" i="4"/>
  <c r="T49" i="4"/>
  <c r="U49" i="4"/>
  <c r="T58" i="4"/>
  <c r="T56" i="4"/>
  <c r="T52" i="4"/>
  <c r="T64" i="4"/>
  <c r="U64" i="4"/>
  <c r="T45" i="4"/>
  <c r="T59" i="4"/>
  <c r="T47" i="4"/>
  <c r="T50" i="4"/>
  <c r="U50" i="4"/>
  <c r="T48" i="4"/>
  <c r="T61" i="4"/>
  <c r="T63" i="4"/>
  <c r="U63" i="4"/>
  <c r="T57" i="4"/>
  <c r="AF18" i="4"/>
  <c r="AA5" i="4"/>
  <c r="AA7" i="4"/>
  <c r="AF13" i="4"/>
  <c r="AF15" i="4"/>
  <c r="AF25" i="4"/>
  <c r="AF26" i="4"/>
  <c r="AF27" i="4"/>
  <c r="AA4" i="4"/>
  <c r="AF10" i="4"/>
  <c r="AF20" i="4"/>
  <c r="AF17" i="4"/>
  <c r="AF9" i="4"/>
  <c r="AF11" i="4"/>
  <c r="AF19" i="4"/>
  <c r="AF21" i="4"/>
  <c r="AF24" i="4"/>
  <c r="AF14" i="4"/>
  <c r="AF16" i="4"/>
  <c r="AF23" i="4"/>
  <c r="AF4" i="4"/>
  <c r="M36" i="4"/>
  <c r="P20" i="4"/>
  <c r="U20" i="4"/>
  <c r="T34" i="4"/>
  <c r="P27" i="4"/>
  <c r="T28" i="4"/>
  <c r="U28" i="4"/>
  <c r="P24" i="4"/>
  <c r="T33" i="4"/>
  <c r="U33" i="4"/>
  <c r="P17" i="4"/>
  <c r="T31" i="4"/>
  <c r="U31" i="4"/>
  <c r="P11" i="4"/>
  <c r="T26" i="4"/>
  <c r="P18" i="4"/>
  <c r="T23" i="4"/>
  <c r="U23" i="4"/>
  <c r="P21" i="4"/>
  <c r="T8" i="4"/>
  <c r="P22" i="4"/>
  <c r="T15" i="4"/>
  <c r="U15" i="4"/>
  <c r="P5" i="4"/>
  <c r="T7" i="4"/>
  <c r="P35" i="4"/>
  <c r="U35" i="4"/>
  <c r="P25" i="4"/>
  <c r="T19" i="4"/>
  <c r="U19" i="4"/>
  <c r="P6" i="4"/>
  <c r="T4" i="4"/>
  <c r="P30" i="4"/>
  <c r="T14" i="4"/>
  <c r="U14" i="4"/>
  <c r="P10" i="4"/>
  <c r="T16" i="4"/>
  <c r="P12" i="4"/>
  <c r="T32" i="4"/>
  <c r="U32" i="4"/>
  <c r="P13" i="4"/>
  <c r="T29" i="4"/>
  <c r="P9" i="4"/>
  <c r="P34" i="4"/>
  <c r="X28" i="4"/>
  <c r="AB28" i="4"/>
  <c r="AD28" i="4"/>
  <c r="AI32" i="4"/>
  <c r="AK32" i="4"/>
  <c r="AM32" i="4"/>
  <c r="AO32" i="4"/>
  <c r="C64" i="4"/>
  <c r="M65" i="4"/>
  <c r="O65" i="4"/>
  <c r="Q65" i="4"/>
  <c r="X98" i="4"/>
  <c r="AB98" i="4"/>
  <c r="AJ91" i="4"/>
  <c r="AF88" i="4"/>
  <c r="I4" i="4"/>
  <c r="E5" i="4"/>
  <c r="I6" i="4"/>
  <c r="E7" i="4"/>
  <c r="I8" i="4"/>
  <c r="J8" i="4"/>
  <c r="E9" i="4"/>
  <c r="I10" i="4"/>
  <c r="E11" i="4"/>
  <c r="I12" i="4"/>
  <c r="J12" i="4"/>
  <c r="E13" i="4"/>
  <c r="I16" i="4"/>
  <c r="E17" i="4"/>
  <c r="I19" i="4"/>
  <c r="E20" i="4"/>
  <c r="R36" i="4"/>
  <c r="N36" i="4"/>
  <c r="AQ24" i="4"/>
  <c r="J58" i="4"/>
  <c r="AF91" i="4"/>
  <c r="AQ14" i="4"/>
  <c r="B64" i="4"/>
  <c r="D64" i="4"/>
  <c r="F64" i="4"/>
  <c r="H64" i="4"/>
  <c r="N65" i="4"/>
  <c r="R65" i="4"/>
  <c r="Y98" i="4"/>
  <c r="AI91" i="4"/>
  <c r="AK91" i="4"/>
  <c r="AM91" i="4"/>
  <c r="AO91" i="4"/>
  <c r="AQ83" i="4"/>
  <c r="AQ84" i="4"/>
  <c r="AF92" i="4"/>
  <c r="J63" i="4"/>
  <c r="AQ88" i="4"/>
  <c r="AF97" i="4"/>
  <c r="E4" i="4"/>
  <c r="I5" i="4"/>
  <c r="E6" i="4"/>
  <c r="I7" i="4"/>
  <c r="J7" i="4"/>
  <c r="E8" i="4"/>
  <c r="I9" i="4"/>
  <c r="E10" i="4"/>
  <c r="I11" i="4"/>
  <c r="J11" i="4"/>
  <c r="E12" i="4"/>
  <c r="I13" i="4"/>
  <c r="E14" i="4"/>
  <c r="I14" i="4"/>
  <c r="E15" i="4"/>
  <c r="I15" i="4"/>
  <c r="E16" i="4"/>
  <c r="I17" i="4"/>
  <c r="J17" i="4"/>
  <c r="E18" i="4"/>
  <c r="I18" i="4"/>
  <c r="E19" i="4"/>
  <c r="J19" i="4"/>
  <c r="I20" i="4"/>
  <c r="E21" i="4"/>
  <c r="I21" i="4"/>
  <c r="J21" i="4"/>
  <c r="E22" i="4"/>
  <c r="I22" i="4"/>
  <c r="E23" i="4"/>
  <c r="I23" i="4"/>
  <c r="E24" i="4"/>
  <c r="I24" i="4"/>
  <c r="E25" i="4"/>
  <c r="I25" i="4"/>
  <c r="J25" i="4"/>
  <c r="J4" i="4"/>
  <c r="AQ6" i="4"/>
  <c r="AQ8" i="4"/>
  <c r="AQ10" i="4"/>
  <c r="AQ12" i="4"/>
  <c r="AQ15" i="4"/>
  <c r="AQ16" i="4"/>
  <c r="AQ17" i="4"/>
  <c r="AQ19" i="4"/>
  <c r="AQ20" i="4"/>
  <c r="AQ21" i="4"/>
  <c r="AQ22" i="4"/>
  <c r="AQ27" i="4"/>
  <c r="AQ28" i="4"/>
  <c r="AQ29" i="4"/>
  <c r="AQ31" i="4"/>
  <c r="J46" i="4"/>
  <c r="AF87" i="4"/>
  <c r="J60" i="4"/>
  <c r="AQ85" i="4"/>
  <c r="AF94" i="4"/>
  <c r="AQ89" i="4"/>
  <c r="AF96" i="4"/>
  <c r="AF89" i="4"/>
  <c r="J57" i="4"/>
  <c r="AQ86" i="4"/>
  <c r="AF95" i="4"/>
  <c r="AQ5" i="4"/>
  <c r="AQ7" i="4"/>
  <c r="AQ9" i="4"/>
  <c r="AQ11" i="4"/>
  <c r="AQ13" i="4"/>
  <c r="AQ18" i="4"/>
  <c r="AQ23" i="4"/>
  <c r="AQ25" i="4"/>
  <c r="AQ26" i="4"/>
  <c r="AQ30" i="4"/>
  <c r="J47" i="4"/>
  <c r="AF90" i="4"/>
  <c r="AQ82" i="4"/>
  <c r="AF93" i="4"/>
  <c r="AQ87" i="4"/>
  <c r="AQ90" i="4"/>
  <c r="P57" i="2"/>
  <c r="T79" i="2"/>
  <c r="P61" i="2"/>
  <c r="T51" i="2"/>
  <c r="P63" i="2"/>
  <c r="T63" i="2"/>
  <c r="P88" i="2"/>
  <c r="U88" i="2"/>
  <c r="P89" i="2"/>
  <c r="U89" i="2"/>
  <c r="AL61" i="2"/>
  <c r="AA44" i="2"/>
  <c r="AA46" i="2"/>
  <c r="AF46" i="2"/>
  <c r="AA48" i="2"/>
  <c r="AA50" i="2"/>
  <c r="AA52" i="2"/>
  <c r="T59" i="2"/>
  <c r="P69" i="2"/>
  <c r="T90" i="2"/>
  <c r="P60" i="2"/>
  <c r="T65" i="2"/>
  <c r="P82" i="2"/>
  <c r="T86" i="2"/>
  <c r="P66" i="2"/>
  <c r="AA43" i="2"/>
  <c r="AA45" i="2"/>
  <c r="AA47" i="2"/>
  <c r="AA49" i="2"/>
  <c r="AF49" i="2"/>
  <c r="AA53" i="2"/>
  <c r="AF53" i="2"/>
  <c r="AL53" i="2"/>
  <c r="AL57" i="2"/>
  <c r="AL59" i="2"/>
  <c r="AL63" i="2"/>
  <c r="AQ63" i="2"/>
  <c r="AL65" i="2"/>
  <c r="AA55" i="2"/>
  <c r="AE55" i="2"/>
  <c r="AA56" i="2"/>
  <c r="AA58" i="2"/>
  <c r="AL44" i="2"/>
  <c r="AL46" i="2"/>
  <c r="AQ46" i="2"/>
  <c r="AL48" i="2"/>
  <c r="AL50" i="2"/>
  <c r="AL52" i="2"/>
  <c r="AL54" i="2"/>
  <c r="AL56" i="2"/>
  <c r="AL58" i="2"/>
  <c r="AL60" i="2"/>
  <c r="AQ60" i="2"/>
  <c r="AL62" i="2"/>
  <c r="AL64" i="2"/>
  <c r="P58" i="2"/>
  <c r="T58" i="2"/>
  <c r="T67" i="2"/>
  <c r="P59" i="2"/>
  <c r="T69" i="2"/>
  <c r="P90" i="2"/>
  <c r="T60" i="2"/>
  <c r="P65" i="2"/>
  <c r="T82" i="2"/>
  <c r="P91" i="2"/>
  <c r="U91" i="2"/>
  <c r="P86" i="2"/>
  <c r="T66" i="2"/>
  <c r="AA60" i="2"/>
  <c r="AA62" i="2"/>
  <c r="F59" i="2"/>
  <c r="H59" i="2"/>
  <c r="AA54" i="2"/>
  <c r="AA57" i="2"/>
  <c r="AA59" i="2"/>
  <c r="AA61" i="2"/>
  <c r="AF61" i="2"/>
  <c r="P45" i="2"/>
  <c r="T50" i="2"/>
  <c r="P56" i="2"/>
  <c r="T53" i="2"/>
  <c r="P43" i="2"/>
  <c r="P49" i="2"/>
  <c r="T49" i="2"/>
  <c r="P46" i="2"/>
  <c r="T46" i="2"/>
  <c r="P52" i="2"/>
  <c r="P44" i="2"/>
  <c r="T76" i="2"/>
  <c r="T47" i="2"/>
  <c r="P71" i="2"/>
  <c r="T55" i="2"/>
  <c r="P74" i="2"/>
  <c r="P62" i="2"/>
  <c r="T62" i="2"/>
  <c r="P64" i="2"/>
  <c r="T64" i="2"/>
  <c r="T57" i="2"/>
  <c r="P79" i="2"/>
  <c r="T61" i="2"/>
  <c r="P51" i="2"/>
  <c r="P67" i="2"/>
  <c r="T52" i="2"/>
  <c r="U52" i="2"/>
  <c r="T68" i="2"/>
  <c r="P85" i="2"/>
  <c r="T87" i="2"/>
  <c r="P83" i="2"/>
  <c r="T78" i="2"/>
  <c r="P48" i="2"/>
  <c r="T84" i="2"/>
  <c r="T81" i="2"/>
  <c r="T70" i="2"/>
  <c r="P80" i="2"/>
  <c r="T73" i="2"/>
  <c r="P72" i="2"/>
  <c r="T45" i="2"/>
  <c r="P50" i="2"/>
  <c r="T56" i="2"/>
  <c r="P53" i="2"/>
  <c r="T43" i="2"/>
  <c r="P76" i="2"/>
  <c r="T44" i="2"/>
  <c r="P68" i="2"/>
  <c r="T85" i="2"/>
  <c r="P87" i="2"/>
  <c r="T83" i="2"/>
  <c r="P78" i="2"/>
  <c r="T48" i="2"/>
  <c r="P84" i="2"/>
  <c r="P81" i="2"/>
  <c r="P75" i="2"/>
  <c r="T75" i="2"/>
  <c r="P70" i="2"/>
  <c r="T80" i="2"/>
  <c r="P73" i="2"/>
  <c r="T72" i="2"/>
  <c r="P54" i="2"/>
  <c r="T54" i="2"/>
  <c r="P77" i="2"/>
  <c r="T77" i="2"/>
  <c r="P47" i="2"/>
  <c r="T71" i="2"/>
  <c r="P55" i="2"/>
  <c r="T74" i="2"/>
  <c r="U76" i="2"/>
  <c r="Y63" i="2"/>
  <c r="AC63" i="2"/>
  <c r="AJ66" i="2"/>
  <c r="AN66" i="2"/>
  <c r="B59" i="2"/>
  <c r="X63" i="2"/>
  <c r="AB63" i="2"/>
  <c r="AI66" i="2"/>
  <c r="AM66" i="2"/>
  <c r="J55" i="2"/>
  <c r="AC6" i="2"/>
  <c r="AB6" i="2"/>
  <c r="Y6" i="2"/>
  <c r="X6" i="2"/>
  <c r="AC27" i="2"/>
  <c r="AB27" i="2"/>
  <c r="Y27" i="2"/>
  <c r="X27" i="2"/>
  <c r="AC8" i="2"/>
  <c r="AB8" i="2"/>
  <c r="Y8" i="2"/>
  <c r="X8" i="2"/>
  <c r="AC19" i="2"/>
  <c r="AB19" i="2"/>
  <c r="Y19" i="2"/>
  <c r="X19" i="2"/>
  <c r="AC12" i="2"/>
  <c r="AB12" i="2"/>
  <c r="Y12" i="2"/>
  <c r="X12" i="2"/>
  <c r="AC5" i="2"/>
  <c r="AB5" i="2"/>
  <c r="Y5" i="2"/>
  <c r="X5" i="2"/>
  <c r="AC7" i="2"/>
  <c r="AB7" i="2"/>
  <c r="Y7" i="2"/>
  <c r="X7" i="2"/>
  <c r="AC23" i="2"/>
  <c r="AB23" i="2"/>
  <c r="Y23" i="2"/>
  <c r="X23" i="2"/>
  <c r="AC16" i="2"/>
  <c r="AB16" i="2"/>
  <c r="Y16" i="2"/>
  <c r="X16" i="2"/>
  <c r="AC20" i="2"/>
  <c r="AB20" i="2"/>
  <c r="Y20" i="2"/>
  <c r="X20" i="2"/>
  <c r="AN7" i="2"/>
  <c r="AM7" i="2"/>
  <c r="AJ7" i="2"/>
  <c r="AI7" i="2"/>
  <c r="AN9" i="2"/>
  <c r="AM9" i="2"/>
  <c r="AJ9" i="2"/>
  <c r="AI9" i="2"/>
  <c r="AN5" i="2"/>
  <c r="AM5" i="2"/>
  <c r="AJ5" i="2"/>
  <c r="AI5" i="2"/>
  <c r="AN16" i="2"/>
  <c r="AM16" i="2"/>
  <c r="AJ16" i="2"/>
  <c r="AI16" i="2"/>
  <c r="AN8" i="2"/>
  <c r="AM8" i="2"/>
  <c r="AJ8" i="2"/>
  <c r="AI8" i="2"/>
  <c r="AN10" i="2"/>
  <c r="AM10" i="2"/>
  <c r="AJ10" i="2"/>
  <c r="AI10" i="2"/>
  <c r="AN4" i="2"/>
  <c r="AM4" i="2"/>
  <c r="AJ4" i="2"/>
  <c r="AI4" i="2"/>
  <c r="AN15" i="2"/>
  <c r="AM15" i="2"/>
  <c r="AJ15" i="2"/>
  <c r="AI15" i="2"/>
  <c r="AH32" i="2"/>
  <c r="W29" i="2"/>
  <c r="L34" i="2"/>
  <c r="B4" i="2"/>
  <c r="C4" i="2"/>
  <c r="I4" i="2"/>
  <c r="A24" i="2"/>
  <c r="AM31" i="2"/>
  <c r="AJ31" i="2"/>
  <c r="AI31" i="2"/>
  <c r="AM30" i="2"/>
  <c r="AJ30" i="2"/>
  <c r="AI30" i="2"/>
  <c r="AM29" i="2"/>
  <c r="AJ29" i="2"/>
  <c r="AI29" i="2"/>
  <c r="AM28" i="2"/>
  <c r="AI28" i="2"/>
  <c r="AK28" i="2"/>
  <c r="AM27" i="2"/>
  <c r="AJ27" i="2"/>
  <c r="AI27" i="2"/>
  <c r="AM26" i="2"/>
  <c r="AJ26" i="2"/>
  <c r="AI26" i="2"/>
  <c r="AM25" i="2"/>
  <c r="AJ25" i="2"/>
  <c r="AI25" i="2"/>
  <c r="AM14" i="2"/>
  <c r="AJ14" i="2"/>
  <c r="AI14" i="2"/>
  <c r="AM24" i="2"/>
  <c r="AJ24" i="2"/>
  <c r="AI24" i="2"/>
  <c r="AM23" i="2"/>
  <c r="AJ23" i="2"/>
  <c r="AI23" i="2"/>
  <c r="AN11" i="2"/>
  <c r="AM11" i="2"/>
  <c r="AJ11" i="2"/>
  <c r="AI11" i="2"/>
  <c r="AN12" i="2"/>
  <c r="AM12" i="2"/>
  <c r="AJ12" i="2"/>
  <c r="AI12" i="2"/>
  <c r="AN22" i="2"/>
  <c r="AM22" i="2"/>
  <c r="AJ22" i="2"/>
  <c r="AI22" i="2"/>
  <c r="AN21" i="2"/>
  <c r="AM21" i="2"/>
  <c r="AJ21" i="2"/>
  <c r="AI21" i="2"/>
  <c r="AN20" i="2"/>
  <c r="AM20" i="2"/>
  <c r="AJ20" i="2"/>
  <c r="AI20" i="2"/>
  <c r="AN6" i="2"/>
  <c r="AM6" i="2"/>
  <c r="AJ6" i="2"/>
  <c r="AI6" i="2"/>
  <c r="AN19" i="2"/>
  <c r="AM19" i="2"/>
  <c r="AJ19" i="2"/>
  <c r="AI19" i="2"/>
  <c r="AN18" i="2"/>
  <c r="AM18" i="2"/>
  <c r="AJ18" i="2"/>
  <c r="AI18" i="2"/>
  <c r="AN13" i="2"/>
  <c r="AM13" i="2"/>
  <c r="AJ13" i="2"/>
  <c r="AI13" i="2"/>
  <c r="AN17" i="2"/>
  <c r="AM17" i="2"/>
  <c r="AJ17" i="2"/>
  <c r="AI17" i="2"/>
  <c r="AB24" i="2"/>
  <c r="AD24" i="2"/>
  <c r="Y24" i="2"/>
  <c r="X24" i="2"/>
  <c r="AC26" i="2"/>
  <c r="AB26" i="2"/>
  <c r="Y26" i="2"/>
  <c r="X26" i="2"/>
  <c r="AC22" i="2"/>
  <c r="AB22" i="2"/>
  <c r="Y22" i="2"/>
  <c r="X22" i="2"/>
  <c r="AC9" i="2"/>
  <c r="AB9" i="2"/>
  <c r="Y9" i="2"/>
  <c r="X9" i="2"/>
  <c r="AC28" i="2"/>
  <c r="AB28" i="2"/>
  <c r="Y28" i="2"/>
  <c r="X28" i="2"/>
  <c r="AC14" i="2"/>
  <c r="AB14" i="2"/>
  <c r="Y14" i="2"/>
  <c r="X14" i="2"/>
  <c r="AC25" i="2"/>
  <c r="AB25" i="2"/>
  <c r="Y25" i="2"/>
  <c r="X25" i="2"/>
  <c r="AC17" i="2"/>
  <c r="AB17" i="2"/>
  <c r="Y17" i="2"/>
  <c r="X17" i="2"/>
  <c r="AC10" i="2"/>
  <c r="AB10" i="2"/>
  <c r="Y10" i="2"/>
  <c r="X10" i="2"/>
  <c r="AC4" i="2"/>
  <c r="AB4" i="2"/>
  <c r="Y4" i="2"/>
  <c r="X4" i="2"/>
  <c r="AC11" i="2"/>
  <c r="AB11" i="2"/>
  <c r="Y11" i="2"/>
  <c r="X11" i="2"/>
  <c r="AC15" i="2"/>
  <c r="AB15" i="2"/>
  <c r="Y15" i="2"/>
  <c r="X15" i="2"/>
  <c r="AC18" i="2"/>
  <c r="AB18" i="2"/>
  <c r="Y18" i="2"/>
  <c r="X18" i="2"/>
  <c r="AC13" i="2"/>
  <c r="AB13" i="2"/>
  <c r="Y13" i="2"/>
  <c r="X13" i="2"/>
  <c r="AC21" i="2"/>
  <c r="AB21" i="2"/>
  <c r="Y21" i="2"/>
  <c r="X21" i="2"/>
  <c r="R16" i="2"/>
  <c r="Q16" i="2"/>
  <c r="N16" i="2"/>
  <c r="M16" i="2"/>
  <c r="R9" i="2"/>
  <c r="Q9" i="2"/>
  <c r="N9" i="2"/>
  <c r="M9" i="2"/>
  <c r="R7" i="2"/>
  <c r="Q7" i="2"/>
  <c r="N7" i="2"/>
  <c r="M7" i="2"/>
  <c r="R25" i="2"/>
  <c r="Q25" i="2"/>
  <c r="N25" i="2"/>
  <c r="M25" i="2"/>
  <c r="R12" i="2"/>
  <c r="Q12" i="2"/>
  <c r="N12" i="2"/>
  <c r="M12" i="2"/>
  <c r="R28" i="2"/>
  <c r="Q28" i="2"/>
  <c r="N28" i="2"/>
  <c r="M28" i="2"/>
  <c r="R30" i="2"/>
  <c r="Q30" i="2"/>
  <c r="N30" i="2"/>
  <c r="M30" i="2"/>
  <c r="R33" i="2"/>
  <c r="Q33" i="2"/>
  <c r="N33" i="2"/>
  <c r="M33" i="2"/>
  <c r="R27" i="2"/>
  <c r="Q27" i="2"/>
  <c r="N27" i="2"/>
  <c r="M27" i="2"/>
  <c r="R19" i="2"/>
  <c r="Q19" i="2"/>
  <c r="N19" i="2"/>
  <c r="M19" i="2"/>
  <c r="R5" i="2"/>
  <c r="Q5" i="2"/>
  <c r="N5" i="2"/>
  <c r="M5" i="2"/>
  <c r="R4" i="2"/>
  <c r="Q4" i="2"/>
  <c r="N4" i="2"/>
  <c r="M4" i="2"/>
  <c r="R17" i="2"/>
  <c r="Q17" i="2"/>
  <c r="N17" i="2"/>
  <c r="M17" i="2"/>
  <c r="R11" i="2"/>
  <c r="Q11" i="2"/>
  <c r="N11" i="2"/>
  <c r="M11" i="2"/>
  <c r="R24" i="2"/>
  <c r="Q24" i="2"/>
  <c r="N24" i="2"/>
  <c r="M24" i="2"/>
  <c r="R23" i="2"/>
  <c r="Q23" i="2"/>
  <c r="N23" i="2"/>
  <c r="M23" i="2"/>
  <c r="R31" i="2"/>
  <c r="Q31" i="2"/>
  <c r="N31" i="2"/>
  <c r="M31" i="2"/>
  <c r="R10" i="2"/>
  <c r="Q10" i="2"/>
  <c r="N10" i="2"/>
  <c r="M10" i="2"/>
  <c r="R6" i="2"/>
  <c r="Q6" i="2"/>
  <c r="N6" i="2"/>
  <c r="M6" i="2"/>
  <c r="R29" i="2"/>
  <c r="Q29" i="2"/>
  <c r="N29" i="2"/>
  <c r="M29" i="2"/>
  <c r="R21" i="2"/>
  <c r="Q21" i="2"/>
  <c r="N21" i="2"/>
  <c r="M21" i="2"/>
  <c r="R18" i="2"/>
  <c r="Q18" i="2"/>
  <c r="N18" i="2"/>
  <c r="M18" i="2"/>
  <c r="R13" i="2"/>
  <c r="Q13" i="2"/>
  <c r="N13" i="2"/>
  <c r="M13" i="2"/>
  <c r="R26" i="2"/>
  <c r="Q26" i="2"/>
  <c r="N26" i="2"/>
  <c r="M26" i="2"/>
  <c r="R14" i="2"/>
  <c r="Q14" i="2"/>
  <c r="N14" i="2"/>
  <c r="M14" i="2"/>
  <c r="R15" i="2"/>
  <c r="Q15" i="2"/>
  <c r="N15" i="2"/>
  <c r="M15" i="2"/>
  <c r="R20" i="2"/>
  <c r="Q20" i="2"/>
  <c r="N20" i="2"/>
  <c r="M20" i="2"/>
  <c r="R32" i="2"/>
  <c r="Q32" i="2"/>
  <c r="N32" i="2"/>
  <c r="M32" i="2"/>
  <c r="R22" i="2"/>
  <c r="Q22" i="2"/>
  <c r="N22" i="2"/>
  <c r="M22" i="2"/>
  <c r="R8" i="2"/>
  <c r="Q8" i="2"/>
  <c r="N8" i="2"/>
  <c r="N34" i="2"/>
  <c r="M8" i="2"/>
  <c r="G22" i="2"/>
  <c r="F22" i="2"/>
  <c r="C22" i="2"/>
  <c r="B22" i="2"/>
  <c r="G15" i="2"/>
  <c r="F15" i="2"/>
  <c r="C15" i="2"/>
  <c r="B15" i="2"/>
  <c r="G17" i="2"/>
  <c r="F17" i="2"/>
  <c r="C17" i="2"/>
  <c r="B17" i="2"/>
  <c r="G20" i="2"/>
  <c r="F20" i="2"/>
  <c r="C20" i="2"/>
  <c r="B20" i="2"/>
  <c r="G23" i="2"/>
  <c r="F23" i="2"/>
  <c r="C23" i="2"/>
  <c r="B23" i="2"/>
  <c r="G13" i="2"/>
  <c r="F13" i="2"/>
  <c r="C13" i="2"/>
  <c r="B13" i="2"/>
  <c r="G18" i="2"/>
  <c r="F18" i="2"/>
  <c r="C18" i="2"/>
  <c r="B18" i="2"/>
  <c r="G11" i="2"/>
  <c r="F11" i="2"/>
  <c r="C11" i="2"/>
  <c r="B11" i="2"/>
  <c r="G5" i="2"/>
  <c r="F5" i="2"/>
  <c r="C5" i="2"/>
  <c r="B5" i="2"/>
  <c r="G14" i="2"/>
  <c r="F14" i="2"/>
  <c r="C14" i="2"/>
  <c r="B14" i="2"/>
  <c r="G8" i="2"/>
  <c r="F8" i="2"/>
  <c r="C8" i="2"/>
  <c r="B8" i="2"/>
  <c r="G9" i="2"/>
  <c r="F9" i="2"/>
  <c r="C9" i="2"/>
  <c r="B9" i="2"/>
  <c r="G12" i="2"/>
  <c r="F12" i="2"/>
  <c r="C12" i="2"/>
  <c r="B12" i="2"/>
  <c r="G19" i="2"/>
  <c r="F19" i="2"/>
  <c r="C19" i="2"/>
  <c r="B19" i="2"/>
  <c r="G6" i="2"/>
  <c r="F6" i="2"/>
  <c r="C6" i="2"/>
  <c r="B6" i="2"/>
  <c r="G10" i="2"/>
  <c r="F10" i="2"/>
  <c r="C10" i="2"/>
  <c r="B10" i="2"/>
  <c r="G7" i="2"/>
  <c r="F7" i="2"/>
  <c r="C7" i="2"/>
  <c r="B7" i="2"/>
  <c r="G16" i="2"/>
  <c r="F16" i="2"/>
  <c r="C16" i="2"/>
  <c r="B16" i="2"/>
  <c r="G21" i="2"/>
  <c r="F21" i="2"/>
  <c r="C21" i="2"/>
  <c r="B21" i="2"/>
  <c r="E64" i="4"/>
  <c r="AD99" i="4"/>
  <c r="AQ48" i="2"/>
  <c r="J51" i="4"/>
  <c r="S36" i="4"/>
  <c r="U48" i="4"/>
  <c r="U45" i="4"/>
  <c r="U58" i="4"/>
  <c r="U7" i="4"/>
  <c r="U26" i="4"/>
  <c r="AQ79" i="4"/>
  <c r="O37" i="4"/>
  <c r="S65" i="4"/>
  <c r="U47" i="4"/>
  <c r="U52" i="4"/>
  <c r="J53" i="4"/>
  <c r="S66" i="4"/>
  <c r="AF6" i="4"/>
  <c r="E26" i="4"/>
  <c r="U9" i="4"/>
  <c r="U12" i="4"/>
  <c r="U30" i="4"/>
  <c r="U25" i="4"/>
  <c r="O36" i="4"/>
  <c r="J43" i="2"/>
  <c r="AD100" i="4"/>
  <c r="AQ81" i="4"/>
  <c r="S37" i="4"/>
  <c r="D28" i="4"/>
  <c r="AF57" i="2"/>
  <c r="J47" i="2"/>
  <c r="AQ45" i="2"/>
  <c r="J53" i="2"/>
  <c r="AF56" i="2"/>
  <c r="J51" i="2"/>
  <c r="I64" i="4"/>
  <c r="AQ52" i="2"/>
  <c r="U34" i="4"/>
  <c r="AQ78" i="4"/>
  <c r="AF81" i="4"/>
  <c r="AF77" i="4"/>
  <c r="AF75" i="4"/>
  <c r="AF73" i="4"/>
  <c r="AQ74" i="4"/>
  <c r="H28" i="4"/>
  <c r="J52" i="2"/>
  <c r="J48" i="2"/>
  <c r="J44" i="2"/>
  <c r="AF7" i="4"/>
  <c r="D27" i="4"/>
  <c r="J59" i="4"/>
  <c r="J55" i="4"/>
  <c r="AQ54" i="2"/>
  <c r="J48" i="4"/>
  <c r="D66" i="4"/>
  <c r="AF60" i="2"/>
  <c r="U8" i="4"/>
  <c r="J56" i="4"/>
  <c r="O38" i="4"/>
  <c r="AF51" i="2"/>
  <c r="D59" i="2"/>
  <c r="AF59" i="2"/>
  <c r="AQ59" i="2"/>
  <c r="AQ58" i="2"/>
  <c r="AQ57" i="2"/>
  <c r="AQ64" i="2"/>
  <c r="AQ65" i="2"/>
  <c r="AQ53" i="2"/>
  <c r="AF48" i="2"/>
  <c r="AQ49" i="2"/>
  <c r="AK17" i="2"/>
  <c r="AK13" i="2"/>
  <c r="AK18" i="2"/>
  <c r="AK19" i="2"/>
  <c r="AK6" i="2"/>
  <c r="AK20" i="2"/>
  <c r="AK21" i="2"/>
  <c r="AK22" i="2"/>
  <c r="AK12" i="2"/>
  <c r="AK11" i="2"/>
  <c r="AK23" i="2"/>
  <c r="AK26" i="2"/>
  <c r="AK29" i="2"/>
  <c r="AK15" i="2"/>
  <c r="AK4" i="2"/>
  <c r="AK10" i="2"/>
  <c r="AK8" i="2"/>
  <c r="AK16" i="2"/>
  <c r="AK5" i="2"/>
  <c r="AK9" i="2"/>
  <c r="AK7" i="2"/>
  <c r="Z20" i="2"/>
  <c r="Z16" i="2"/>
  <c r="Z23" i="2"/>
  <c r="Z7" i="2"/>
  <c r="Z5" i="2"/>
  <c r="Z12" i="2"/>
  <c r="Z19" i="2"/>
  <c r="Z8" i="2"/>
  <c r="Z27" i="2"/>
  <c r="Z6" i="2"/>
  <c r="J57" i="2"/>
  <c r="J54" i="2"/>
  <c r="J45" i="2"/>
  <c r="AF62" i="2"/>
  <c r="O94" i="2"/>
  <c r="AD63" i="2"/>
  <c r="U49" i="2"/>
  <c r="U66" i="2"/>
  <c r="AK68" i="2"/>
  <c r="J50" i="2"/>
  <c r="H21" i="2"/>
  <c r="H16" i="2"/>
  <c r="H7" i="2"/>
  <c r="H10" i="2"/>
  <c r="H6" i="2"/>
  <c r="H19" i="2"/>
  <c r="H12" i="2"/>
  <c r="H9" i="2"/>
  <c r="H8" i="2"/>
  <c r="H14" i="2"/>
  <c r="H5" i="2"/>
  <c r="H11" i="2"/>
  <c r="H18" i="2"/>
  <c r="H13" i="2"/>
  <c r="H23" i="2"/>
  <c r="H20" i="2"/>
  <c r="H17" i="2"/>
  <c r="H15" i="2"/>
  <c r="H22" i="2"/>
  <c r="S22" i="2"/>
  <c r="S32" i="2"/>
  <c r="S20" i="2"/>
  <c r="S15" i="2"/>
  <c r="S14" i="2"/>
  <c r="S26" i="2"/>
  <c r="S13" i="2"/>
  <c r="S18" i="2"/>
  <c r="S21" i="2"/>
  <c r="S29" i="2"/>
  <c r="S6" i="2"/>
  <c r="S10" i="2"/>
  <c r="S31" i="2"/>
  <c r="S23" i="2"/>
  <c r="S24" i="2"/>
  <c r="S11" i="2"/>
  <c r="S17" i="2"/>
  <c r="S4" i="2"/>
  <c r="S5" i="2"/>
  <c r="S19" i="2"/>
  <c r="S27" i="2"/>
  <c r="S33" i="2"/>
  <c r="S30" i="2"/>
  <c r="S28" i="2"/>
  <c r="S12" i="2"/>
  <c r="S25" i="2"/>
  <c r="S7" i="2"/>
  <c r="S9" i="2"/>
  <c r="S16" i="2"/>
  <c r="AD21" i="2"/>
  <c r="AD13" i="2"/>
  <c r="AD18" i="2"/>
  <c r="AD15" i="2"/>
  <c r="AD11" i="2"/>
  <c r="AD4" i="2"/>
  <c r="AD10" i="2"/>
  <c r="AD17" i="2"/>
  <c r="AD25" i="2"/>
  <c r="AD14" i="2"/>
  <c r="AD28" i="2"/>
  <c r="AD9" i="2"/>
  <c r="AD22" i="2"/>
  <c r="AD26" i="2"/>
  <c r="AK24" i="2"/>
  <c r="AK27" i="2"/>
  <c r="AK30" i="2"/>
  <c r="Z63" i="2"/>
  <c r="AQ44" i="2"/>
  <c r="AF55" i="2"/>
  <c r="Z65" i="2"/>
  <c r="AF58" i="2"/>
  <c r="AF45" i="2"/>
  <c r="Z64" i="2"/>
  <c r="D60" i="2"/>
  <c r="O93" i="2"/>
  <c r="D16" i="2"/>
  <c r="D7" i="2"/>
  <c r="D10" i="2"/>
  <c r="D6" i="2"/>
  <c r="D19" i="2"/>
  <c r="D12" i="2"/>
  <c r="D9" i="2"/>
  <c r="AQ62" i="2"/>
  <c r="S94" i="2"/>
  <c r="AQ43" i="2"/>
  <c r="Q34" i="2"/>
  <c r="S8" i="2"/>
  <c r="AP28" i="2"/>
  <c r="AO28" i="2"/>
  <c r="S93" i="2"/>
  <c r="D65" i="4"/>
  <c r="AP31" i="2"/>
  <c r="AO31" i="2"/>
  <c r="AF43" i="2"/>
  <c r="J13" i="4"/>
  <c r="J5" i="4"/>
  <c r="D8" i="2"/>
  <c r="D14" i="2"/>
  <c r="D5" i="2"/>
  <c r="D11" i="2"/>
  <c r="D18" i="2"/>
  <c r="D13" i="2"/>
  <c r="D23" i="2"/>
  <c r="D20" i="2"/>
  <c r="D17" i="2"/>
  <c r="D15" i="2"/>
  <c r="D22" i="2"/>
  <c r="M34" i="2"/>
  <c r="O34" i="2"/>
  <c r="O8" i="2"/>
  <c r="O22" i="2"/>
  <c r="O32" i="2"/>
  <c r="O20" i="2"/>
  <c r="O15" i="2"/>
  <c r="O14" i="2"/>
  <c r="O26" i="2"/>
  <c r="O13" i="2"/>
  <c r="O18" i="2"/>
  <c r="O21" i="2"/>
  <c r="O29" i="2"/>
  <c r="O6" i="2"/>
  <c r="O10" i="2"/>
  <c r="O31" i="2"/>
  <c r="O23" i="2"/>
  <c r="O24" i="2"/>
  <c r="O11" i="2"/>
  <c r="O17" i="2"/>
  <c r="O4" i="2"/>
  <c r="O5" i="2"/>
  <c r="O19" i="2"/>
  <c r="O27" i="2"/>
  <c r="O33" i="2"/>
  <c r="O30" i="2"/>
  <c r="O28" i="2"/>
  <c r="O12" i="2"/>
  <c r="O25" i="2"/>
  <c r="O7" i="2"/>
  <c r="O9" i="2"/>
  <c r="O16" i="2"/>
  <c r="Z21" i="2"/>
  <c r="Z13" i="2"/>
  <c r="Z18" i="2"/>
  <c r="Z15" i="2"/>
  <c r="Z11" i="2"/>
  <c r="Z4" i="2"/>
  <c r="Z10" i="2"/>
  <c r="Z17" i="2"/>
  <c r="Z25" i="2"/>
  <c r="Z14" i="2"/>
  <c r="Z28" i="2"/>
  <c r="Z9" i="2"/>
  <c r="Z22" i="2"/>
  <c r="Z26" i="2"/>
  <c r="Z24" i="2"/>
  <c r="AP24" i="2"/>
  <c r="AO24" i="2"/>
  <c r="AK25" i="2"/>
  <c r="AP27" i="2"/>
  <c r="AO27" i="2"/>
  <c r="AP30" i="2"/>
  <c r="AO30" i="2"/>
  <c r="AO66" i="2"/>
  <c r="U67" i="2"/>
  <c r="U58" i="2"/>
  <c r="AQ56" i="2"/>
  <c r="AQ50" i="2"/>
  <c r="AF52" i="2"/>
  <c r="AF44" i="2"/>
  <c r="AD98" i="4"/>
  <c r="Z28" i="4"/>
  <c r="U29" i="4"/>
  <c r="U16" i="4"/>
  <c r="U4" i="4"/>
  <c r="U27" i="4"/>
  <c r="AQ72" i="4"/>
  <c r="O92" i="2"/>
  <c r="AQ55" i="2"/>
  <c r="AK92" i="4"/>
  <c r="AK93" i="4"/>
  <c r="D61" i="2"/>
  <c r="AD29" i="4"/>
  <c r="AD30" i="4"/>
  <c r="H61" i="2"/>
  <c r="H60" i="2"/>
  <c r="Z30" i="4"/>
  <c r="Z29" i="4"/>
  <c r="AK67" i="2"/>
  <c r="H27" i="4"/>
  <c r="AP25" i="2"/>
  <c r="AO25" i="2"/>
  <c r="AO68" i="2"/>
  <c r="AO67" i="2"/>
  <c r="O67" i="4"/>
  <c r="O66" i="4"/>
  <c r="AO92" i="4"/>
  <c r="AO93" i="4"/>
  <c r="AP14" i="2"/>
  <c r="AO14" i="2"/>
  <c r="D4" i="2"/>
  <c r="J9" i="4"/>
  <c r="D26" i="4"/>
  <c r="AO17" i="2"/>
  <c r="AO13" i="2"/>
  <c r="AO18" i="2"/>
  <c r="AO19" i="2"/>
  <c r="AO6" i="2"/>
  <c r="AO20" i="2"/>
  <c r="AO21" i="2"/>
  <c r="AO22" i="2"/>
  <c r="AO12" i="2"/>
  <c r="AO11" i="2"/>
  <c r="AP23" i="2"/>
  <c r="AO23" i="2"/>
  <c r="AK14" i="2"/>
  <c r="AP26" i="2"/>
  <c r="AO26" i="2"/>
  <c r="AP29" i="2"/>
  <c r="AO29" i="2"/>
  <c r="AK31" i="2"/>
  <c r="AO15" i="2"/>
  <c r="AO4" i="2"/>
  <c r="AO10" i="2"/>
  <c r="AO8" i="2"/>
  <c r="AO16" i="2"/>
  <c r="AO5" i="2"/>
  <c r="AO9" i="2"/>
  <c r="AO7" i="2"/>
  <c r="AD20" i="2"/>
  <c r="AD16" i="2"/>
  <c r="AD23" i="2"/>
  <c r="AD7" i="2"/>
  <c r="AD5" i="2"/>
  <c r="AD12" i="2"/>
  <c r="AD19" i="2"/>
  <c r="AD8" i="2"/>
  <c r="AD27" i="2"/>
  <c r="AD6" i="2"/>
  <c r="AK66" i="2"/>
  <c r="AF54" i="2"/>
  <c r="AF47" i="2"/>
  <c r="U90" i="2"/>
  <c r="AF50" i="2"/>
  <c r="AQ61" i="2"/>
  <c r="J20" i="4"/>
  <c r="Z98" i="4"/>
  <c r="U13" i="4"/>
  <c r="U10" i="4"/>
  <c r="U6" i="4"/>
  <c r="S92" i="2"/>
  <c r="Z100" i="4"/>
  <c r="Z99" i="4"/>
  <c r="AD65" i="2"/>
  <c r="AD64" i="2"/>
  <c r="H66" i="4"/>
  <c r="H65" i="4"/>
  <c r="B24" i="2"/>
  <c r="D21" i="2"/>
  <c r="E21" i="2"/>
  <c r="E7" i="2"/>
  <c r="E6" i="2"/>
  <c r="E12" i="2"/>
  <c r="E8" i="2"/>
  <c r="E14" i="2"/>
  <c r="E11" i="2"/>
  <c r="E13" i="2"/>
  <c r="E20" i="2"/>
  <c r="U85" i="2"/>
  <c r="E4" i="2"/>
  <c r="J4" i="2"/>
  <c r="U55" i="2"/>
  <c r="U77" i="2"/>
  <c r="U73" i="2"/>
  <c r="U75" i="2"/>
  <c r="U78" i="2"/>
  <c r="U68" i="2"/>
  <c r="E16" i="2"/>
  <c r="E10" i="2"/>
  <c r="E19" i="2"/>
  <c r="E9" i="2"/>
  <c r="E5" i="2"/>
  <c r="E18" i="2"/>
  <c r="E23" i="2"/>
  <c r="E17" i="2"/>
  <c r="E15" i="2"/>
  <c r="E22" i="2"/>
  <c r="U48" i="2"/>
  <c r="U80" i="2"/>
  <c r="U44" i="2"/>
  <c r="U56" i="2"/>
  <c r="U46" i="2"/>
  <c r="E59" i="2"/>
  <c r="U71" i="2"/>
  <c r="U83" i="2"/>
  <c r="U57" i="2"/>
  <c r="U62" i="2"/>
  <c r="U86" i="2"/>
  <c r="U84" i="2"/>
  <c r="U87" i="2"/>
  <c r="U50" i="2"/>
  <c r="U51" i="2"/>
  <c r="U53" i="2"/>
  <c r="AJ32" i="2"/>
  <c r="U43" i="2"/>
  <c r="U82" i="2"/>
  <c r="U69" i="2"/>
  <c r="U63" i="2"/>
  <c r="U65" i="2"/>
  <c r="U74" i="2"/>
  <c r="U72" i="2"/>
  <c r="U79" i="2"/>
  <c r="U59" i="2"/>
  <c r="U47" i="2"/>
  <c r="U70" i="2"/>
  <c r="U61" i="2"/>
  <c r="U60" i="2"/>
  <c r="U30" i="5"/>
  <c r="U31" i="5"/>
  <c r="U29" i="5"/>
  <c r="J19" i="5"/>
  <c r="J20" i="5"/>
  <c r="J21" i="5"/>
  <c r="AF19" i="5"/>
  <c r="AF20" i="5"/>
  <c r="AF21" i="5"/>
  <c r="AF53" i="5"/>
  <c r="J60" i="5"/>
  <c r="J61" i="5"/>
  <c r="J62" i="5"/>
  <c r="AF96" i="5"/>
  <c r="AF97" i="5"/>
  <c r="AF95" i="5"/>
  <c r="U62" i="5"/>
  <c r="U63" i="5"/>
  <c r="U61" i="5"/>
  <c r="AQ13" i="5"/>
  <c r="AQ14" i="5"/>
  <c r="AQ12" i="5"/>
  <c r="AF54" i="5"/>
  <c r="AF55" i="5"/>
  <c r="U91" i="5"/>
  <c r="U92" i="5"/>
  <c r="U93" i="5"/>
  <c r="U5" i="4"/>
  <c r="U22" i="4"/>
  <c r="U21" i="4"/>
  <c r="U18" i="4"/>
  <c r="U11" i="4"/>
  <c r="U17" i="4"/>
  <c r="U24" i="4"/>
  <c r="T36" i="4"/>
  <c r="J23" i="4"/>
  <c r="J15" i="4"/>
  <c r="P65" i="4"/>
  <c r="J45" i="4"/>
  <c r="AL91" i="4"/>
  <c r="AA98" i="4"/>
  <c r="U55" i="4"/>
  <c r="U53" i="4"/>
  <c r="J16" i="4"/>
  <c r="J10" i="4"/>
  <c r="J6" i="4"/>
  <c r="U62" i="4"/>
  <c r="J24" i="4"/>
  <c r="J22" i="4"/>
  <c r="J18" i="4"/>
  <c r="J14" i="4"/>
  <c r="U57" i="4"/>
  <c r="U51" i="4"/>
  <c r="U56" i="4"/>
  <c r="AA28" i="4"/>
  <c r="AL32" i="4"/>
  <c r="P36" i="4"/>
  <c r="AP32" i="4"/>
  <c r="AQ4" i="4"/>
  <c r="AP91" i="4"/>
  <c r="AE98" i="4"/>
  <c r="AF72" i="4"/>
  <c r="T65" i="4"/>
  <c r="U54" i="4"/>
  <c r="AE28" i="4"/>
  <c r="I26" i="4"/>
  <c r="U64" i="2"/>
  <c r="U45" i="2"/>
  <c r="T92" i="2"/>
  <c r="P92" i="2"/>
  <c r="I7" i="2"/>
  <c r="I6" i="2"/>
  <c r="I12" i="2"/>
  <c r="I9" i="2"/>
  <c r="I8" i="2"/>
  <c r="I14" i="2"/>
  <c r="I5" i="2"/>
  <c r="I11" i="2"/>
  <c r="I18" i="2"/>
  <c r="I13" i="2"/>
  <c r="I23" i="2"/>
  <c r="I20" i="2"/>
  <c r="I17" i="2"/>
  <c r="I15" i="2"/>
  <c r="X29" i="2"/>
  <c r="U54" i="2"/>
  <c r="AB29" i="2"/>
  <c r="U81" i="2"/>
  <c r="I22" i="2"/>
  <c r="T8" i="2"/>
  <c r="P22" i="2"/>
  <c r="T22" i="2"/>
  <c r="P32" i="2"/>
  <c r="T32" i="2"/>
  <c r="P20" i="2"/>
  <c r="T20" i="2"/>
  <c r="P15" i="2"/>
  <c r="T15" i="2"/>
  <c r="P14" i="2"/>
  <c r="T14" i="2"/>
  <c r="P26" i="2"/>
  <c r="T26" i="2"/>
  <c r="P13" i="2"/>
  <c r="T13" i="2"/>
  <c r="P18" i="2"/>
  <c r="T18" i="2"/>
  <c r="P21" i="2"/>
  <c r="T21" i="2"/>
  <c r="P29" i="2"/>
  <c r="P6" i="2"/>
  <c r="T6" i="2"/>
  <c r="P10" i="2"/>
  <c r="T10" i="2"/>
  <c r="P31" i="2"/>
  <c r="T31" i="2"/>
  <c r="P23" i="2"/>
  <c r="T23" i="2"/>
  <c r="P24" i="2"/>
  <c r="T24" i="2"/>
  <c r="P11" i="2"/>
  <c r="T11" i="2"/>
  <c r="P17" i="2"/>
  <c r="AA21" i="2"/>
  <c r="AE13" i="2"/>
  <c r="AA18" i="2"/>
  <c r="AE18" i="2"/>
  <c r="AA15" i="2"/>
  <c r="AE15" i="2"/>
  <c r="AA11" i="2"/>
  <c r="AE11" i="2"/>
  <c r="AA4" i="2"/>
  <c r="AE4" i="2"/>
  <c r="AI32" i="2"/>
  <c r="AM32" i="2"/>
  <c r="AA20" i="2"/>
  <c r="AA16" i="2"/>
  <c r="AA23" i="2"/>
  <c r="AA7" i="2"/>
  <c r="AA5" i="2"/>
  <c r="AA12" i="2"/>
  <c r="AA19" i="2"/>
  <c r="AA8" i="2"/>
  <c r="AL66" i="2"/>
  <c r="AA63" i="2"/>
  <c r="AP17" i="2"/>
  <c r="AL13" i="2"/>
  <c r="AP18" i="2"/>
  <c r="AL19" i="2"/>
  <c r="AL6" i="2"/>
  <c r="AP6" i="2"/>
  <c r="AL20" i="2"/>
  <c r="AP20" i="2"/>
  <c r="AA10" i="2"/>
  <c r="Y29" i="2"/>
  <c r="AL21" i="2"/>
  <c r="AP21" i="2"/>
  <c r="AL22" i="2"/>
  <c r="AP22" i="2"/>
  <c r="AL12" i="2"/>
  <c r="AP12" i="2"/>
  <c r="AA17" i="2"/>
  <c r="AE17" i="2"/>
  <c r="AA25" i="2"/>
  <c r="AE14" i="2"/>
  <c r="AA28" i="2"/>
  <c r="AE9" i="2"/>
  <c r="AA22" i="2"/>
  <c r="AE26" i="2"/>
  <c r="AA24" i="2"/>
  <c r="AL15" i="2"/>
  <c r="AL4" i="2"/>
  <c r="AL10" i="2"/>
  <c r="AL8" i="2"/>
  <c r="AL16" i="2"/>
  <c r="AL5" i="2"/>
  <c r="AL9" i="2"/>
  <c r="AP9" i="2"/>
  <c r="AL7" i="2"/>
  <c r="AP7" i="2"/>
  <c r="AE20" i="2"/>
  <c r="AE16" i="2"/>
  <c r="AE23" i="2"/>
  <c r="AE7" i="2"/>
  <c r="AE5" i="2"/>
  <c r="AE12" i="2"/>
  <c r="AE19" i="2"/>
  <c r="AE8" i="2"/>
  <c r="AA27" i="2"/>
  <c r="AE27" i="2"/>
  <c r="AA6" i="2"/>
  <c r="AE6" i="2"/>
  <c r="T17" i="2"/>
  <c r="P4" i="2"/>
  <c r="T4" i="2"/>
  <c r="P5" i="2"/>
  <c r="T5" i="2"/>
  <c r="P19" i="2"/>
  <c r="T27" i="2"/>
  <c r="P33" i="2"/>
  <c r="T30" i="2"/>
  <c r="P28" i="2"/>
  <c r="T12" i="2"/>
  <c r="P25" i="2"/>
  <c r="T25" i="2"/>
  <c r="P7" i="2"/>
  <c r="T7" i="2"/>
  <c r="P9" i="2"/>
  <c r="P16" i="2"/>
  <c r="T16" i="2"/>
  <c r="AL11" i="2"/>
  <c r="AP11" i="2"/>
  <c r="AL25" i="2"/>
  <c r="AP66" i="2"/>
  <c r="AE63" i="2"/>
  <c r="I59" i="2"/>
  <c r="AL27" i="2"/>
  <c r="AL29" i="2"/>
  <c r="AL31" i="2"/>
  <c r="AQ31" i="2"/>
  <c r="AP15" i="2"/>
  <c r="AP4" i="2"/>
  <c r="AP10" i="2"/>
  <c r="AP8" i="2"/>
  <c r="AP16" i="2"/>
  <c r="AP5" i="2"/>
  <c r="R34" i="2"/>
  <c r="AC29" i="2"/>
  <c r="AN32" i="2"/>
  <c r="I21" i="2"/>
  <c r="G24" i="2"/>
  <c r="I16" i="2"/>
  <c r="I10" i="2"/>
  <c r="J10" i="2"/>
  <c r="I19" i="2"/>
  <c r="P8" i="2"/>
  <c r="T29" i="2"/>
  <c r="T19" i="2"/>
  <c r="P27" i="2"/>
  <c r="T33" i="2"/>
  <c r="P30" i="2"/>
  <c r="T28" i="2"/>
  <c r="P12" i="2"/>
  <c r="T9" i="2"/>
  <c r="AE21" i="2"/>
  <c r="AA13" i="2"/>
  <c r="AE10" i="2"/>
  <c r="AE25" i="2"/>
  <c r="AA14" i="2"/>
  <c r="AE28" i="2"/>
  <c r="AA9" i="2"/>
  <c r="AE22" i="2"/>
  <c r="AA26" i="2"/>
  <c r="AE24" i="2"/>
  <c r="AL17" i="2"/>
  <c r="AP13" i="2"/>
  <c r="AL18" i="2"/>
  <c r="AP19" i="2"/>
  <c r="AL23" i="2"/>
  <c r="AL24" i="2"/>
  <c r="AL14" i="2"/>
  <c r="AQ14" i="2"/>
  <c r="AL26" i="2"/>
  <c r="AL28" i="2"/>
  <c r="AQ28" i="2"/>
  <c r="AL30" i="2"/>
  <c r="F24" i="2"/>
  <c r="C24" i="2"/>
  <c r="U36" i="4"/>
  <c r="J59" i="2"/>
  <c r="AQ23" i="2"/>
  <c r="U37" i="4"/>
  <c r="U38" i="4"/>
  <c r="AK34" i="2"/>
  <c r="J64" i="4"/>
  <c r="J26" i="4"/>
  <c r="H26" i="2"/>
  <c r="AQ13" i="2"/>
  <c r="AK32" i="2"/>
  <c r="J23" i="2"/>
  <c r="J12" i="2"/>
  <c r="U27" i="2"/>
  <c r="J19" i="2"/>
  <c r="AQ27" i="2"/>
  <c r="AQ25" i="2"/>
  <c r="AF5" i="2"/>
  <c r="AF20" i="2"/>
  <c r="D26" i="2"/>
  <c r="S36" i="2"/>
  <c r="S35" i="2"/>
  <c r="AQ26" i="2"/>
  <c r="AF13" i="2"/>
  <c r="H25" i="2"/>
  <c r="J16" i="2"/>
  <c r="AQ19" i="2"/>
  <c r="AF18" i="2"/>
  <c r="J5" i="2"/>
  <c r="J22" i="2"/>
  <c r="AQ16" i="2"/>
  <c r="AQ12" i="2"/>
  <c r="U13" i="2"/>
  <c r="D25" i="2"/>
  <c r="AD31" i="2"/>
  <c r="Z29" i="2"/>
  <c r="AD30" i="2"/>
  <c r="U10" i="2"/>
  <c r="H24" i="2"/>
  <c r="AD29" i="2"/>
  <c r="J65" i="4"/>
  <c r="J66" i="4"/>
  <c r="E24" i="2"/>
  <c r="AK33" i="2"/>
  <c r="O36" i="2"/>
  <c r="O35" i="2"/>
  <c r="AO33" i="2"/>
  <c r="AO34" i="2"/>
  <c r="AQ30" i="2"/>
  <c r="AQ24" i="2"/>
  <c r="AQ29" i="2"/>
  <c r="AO32" i="2"/>
  <c r="Z31" i="2"/>
  <c r="Z30" i="2"/>
  <c r="S34" i="2"/>
  <c r="AQ5" i="2"/>
  <c r="AQ4" i="2"/>
  <c r="U25" i="2"/>
  <c r="AF19" i="2"/>
  <c r="U11" i="2"/>
  <c r="U28" i="2"/>
  <c r="AF8" i="2"/>
  <c r="D24" i="2"/>
  <c r="U17" i="2"/>
  <c r="AF24" i="2"/>
  <c r="AF28" i="2"/>
  <c r="U19" i="2"/>
  <c r="AF7" i="2"/>
  <c r="AF12" i="2"/>
  <c r="AF16" i="2"/>
  <c r="U20" i="2"/>
  <c r="U16" i="2"/>
  <c r="AF27" i="2"/>
  <c r="AQ6" i="2"/>
  <c r="AQ8" i="2"/>
  <c r="AF22" i="2"/>
  <c r="U9" i="2"/>
  <c r="U33" i="2"/>
  <c r="AQ10" i="2"/>
  <c r="AF25" i="2"/>
  <c r="U30" i="2"/>
  <c r="AQ11" i="2"/>
  <c r="AF23" i="2"/>
  <c r="AF29" i="4"/>
  <c r="AF30" i="4"/>
  <c r="AF28" i="4"/>
  <c r="J27" i="4"/>
  <c r="J28" i="4"/>
  <c r="U65" i="4"/>
  <c r="U66" i="4"/>
  <c r="U67" i="4"/>
  <c r="AF99" i="4"/>
  <c r="AF100" i="4"/>
  <c r="AF98" i="4"/>
  <c r="AQ92" i="4"/>
  <c r="AQ93" i="4"/>
  <c r="AQ91" i="4"/>
  <c r="AQ33" i="4"/>
  <c r="AQ34" i="4"/>
  <c r="AQ32" i="4"/>
  <c r="AQ7" i="2"/>
  <c r="AQ22" i="2"/>
  <c r="AQ21" i="2"/>
  <c r="AQ20" i="2"/>
  <c r="AF4" i="2"/>
  <c r="AF11" i="2"/>
  <c r="AF15" i="2"/>
  <c r="U24" i="2"/>
  <c r="J15" i="2"/>
  <c r="J17" i="2"/>
  <c r="J20" i="2"/>
  <c r="AF21" i="2"/>
  <c r="U23" i="2"/>
  <c r="U31" i="2"/>
  <c r="U6" i="2"/>
  <c r="U21" i="2"/>
  <c r="U18" i="2"/>
  <c r="U26" i="2"/>
  <c r="U14" i="2"/>
  <c r="U15" i="2"/>
  <c r="U32" i="2"/>
  <c r="U22" i="2"/>
  <c r="J13" i="2"/>
  <c r="J18" i="2"/>
  <c r="J11" i="2"/>
  <c r="J14" i="2"/>
  <c r="J8" i="2"/>
  <c r="J9" i="2"/>
  <c r="U93" i="2"/>
  <c r="U94" i="2"/>
  <c r="U92" i="2"/>
  <c r="AF14" i="2"/>
  <c r="J21" i="2"/>
  <c r="AF26" i="2"/>
  <c r="AF10" i="2"/>
  <c r="AQ17" i="2"/>
  <c r="J6" i="2"/>
  <c r="AQ18" i="2"/>
  <c r="J7" i="2"/>
  <c r="T34" i="2"/>
  <c r="U7" i="2"/>
  <c r="U5" i="2"/>
  <c r="U4" i="2"/>
  <c r="AF6" i="2"/>
  <c r="U12" i="2"/>
  <c r="AQ9" i="2"/>
  <c r="AF9" i="2"/>
  <c r="AF17" i="2"/>
  <c r="U29" i="2"/>
  <c r="AF64" i="2"/>
  <c r="AF65" i="2"/>
  <c r="AF63" i="2"/>
  <c r="AQ67" i="2"/>
  <c r="AQ68" i="2"/>
  <c r="AQ66" i="2"/>
  <c r="J60" i="2"/>
  <c r="J61" i="2"/>
  <c r="AL32" i="2"/>
  <c r="U8" i="2"/>
  <c r="P34" i="2"/>
  <c r="AP32" i="2"/>
  <c r="AQ15" i="2"/>
  <c r="AE29" i="2"/>
  <c r="AA29" i="2"/>
  <c r="I24" i="2"/>
  <c r="J24" i="2"/>
  <c r="AF29" i="2"/>
  <c r="J25" i="2"/>
  <c r="J26" i="2"/>
  <c r="AF30" i="2"/>
  <c r="AF31" i="2"/>
  <c r="AQ33" i="2"/>
  <c r="AQ34" i="2"/>
  <c r="AQ32" i="2"/>
  <c r="U34" i="2"/>
  <c r="U35" i="2"/>
  <c r="U36" i="2"/>
</calcChain>
</file>

<file path=xl/sharedStrings.xml><?xml version="1.0" encoding="utf-8"?>
<sst xmlns="http://schemas.openxmlformats.org/spreadsheetml/2006/main" count="379" uniqueCount="42">
  <si>
    <t>Blm</t>
  </si>
  <si>
    <t>–HN2</t>
  </si>
  <si>
    <t>+HN2 (0.002%)</t>
  </si>
  <si>
    <t>Vial</t>
  </si>
  <si>
    <t>Sb</t>
  </si>
  <si>
    <t>Sb+</t>
  </si>
  <si>
    <t>Sb+ / Sb</t>
  </si>
  <si>
    <t>Relative</t>
  </si>
  <si>
    <t>+HN2 (0.004%)</t>
  </si>
  <si>
    <t>–MMS</t>
  </si>
  <si>
    <t>+MMS (0.05%)</t>
  </si>
  <si>
    <t>+MMS (0.1%)</t>
  </si>
  <si>
    <t>+MMS (0.005%)</t>
  </si>
  <si>
    <t>–IR</t>
  </si>
  <si>
    <t>+IR (1000 R)</t>
  </si>
  <si>
    <t>+IR (2000 R)</t>
  </si>
  <si>
    <t>+IR (500 R)</t>
  </si>
  <si>
    <t>Total</t>
  </si>
  <si>
    <t>Control treat/untreat</t>
  </si>
  <si>
    <t>Fancm</t>
  </si>
  <si>
    <t>Fancl</t>
  </si>
  <si>
    <t>Blm Fancm</t>
  </si>
  <si>
    <t>HN2</t>
  </si>
  <si>
    <t>MMS</t>
  </si>
  <si>
    <t>IR</t>
  </si>
  <si>
    <t>un</t>
  </si>
  <si>
    <t>R</t>
  </si>
  <si>
    <t>treat</t>
  </si>
  <si>
    <r>
      <t>Survival of Controls after Treatment (</t>
    </r>
    <r>
      <rPr>
        <b/>
        <i/>
        <sz val="11"/>
        <rFont val="Arial"/>
        <family val="2"/>
      </rPr>
      <t>Sb</t>
    </r>
    <r>
      <rPr>
        <b/>
        <sz val="11"/>
        <rFont val="Arial"/>
        <family val="2"/>
      </rPr>
      <t xml:space="preserve"> treated / </t>
    </r>
    <r>
      <rPr>
        <b/>
        <i/>
        <sz val="11"/>
        <rFont val="Arial"/>
        <family val="2"/>
      </rPr>
      <t>Sb</t>
    </r>
    <r>
      <rPr>
        <b/>
        <sz val="11"/>
        <rFont val="Arial"/>
        <family val="2"/>
      </rPr>
      <t xml:space="preserve"> untreated)</t>
    </r>
  </si>
  <si>
    <t>0.002%</t>
  </si>
  <si>
    <t>0.004%</t>
  </si>
  <si>
    <t>0.005%</t>
  </si>
  <si>
    <t>0.05%</t>
  </si>
  <si>
    <t>0.1%</t>
  </si>
  <si>
    <t>500 rads</t>
  </si>
  <si>
    <t>1000 rads</t>
  </si>
  <si>
    <t>2000 rads</t>
  </si>
  <si>
    <r>
      <t xml:space="preserve">Fancm
</t>
    </r>
    <r>
      <rPr>
        <b/>
        <i/>
        <sz val="12"/>
        <color theme="1"/>
        <rFont val="Calibri"/>
        <family val="2"/>
        <scheme val="minor"/>
      </rPr>
      <t>st Fancm</t>
    </r>
    <r>
      <rPr>
        <b/>
        <i/>
        <vertAlign val="superscript"/>
        <sz val="12"/>
        <color theme="1"/>
        <rFont val="Calibri"/>
        <family val="2"/>
        <scheme val="minor"/>
      </rPr>
      <t>0693</t>
    </r>
    <r>
      <rPr>
        <b/>
        <i/>
        <sz val="12"/>
        <color theme="1"/>
        <rFont val="Calibri"/>
        <family val="2"/>
        <scheme val="minor"/>
      </rPr>
      <t>/ TM3, Sb   X   w ; Df(3R)ED6058 / TM3, Sb</t>
    </r>
  </si>
  <si>
    <r>
      <t xml:space="preserve">Fancl
</t>
    </r>
    <r>
      <rPr>
        <b/>
        <i/>
        <sz val="11"/>
        <color theme="1"/>
        <rFont val="Calibri"/>
        <family val="2"/>
        <scheme val="minor"/>
      </rPr>
      <t xml:space="preserve">w; Df(3R)BSC621 / MKRS, Sb    </t>
    </r>
    <r>
      <rPr>
        <b/>
        <sz val="11"/>
        <color theme="1"/>
        <rFont val="Calibri"/>
        <family val="2"/>
        <scheme val="minor"/>
      </rPr>
      <t>X</t>
    </r>
    <r>
      <rPr>
        <b/>
        <i/>
        <sz val="11"/>
        <color theme="1"/>
        <rFont val="Calibri"/>
        <family val="2"/>
        <scheme val="minor"/>
      </rPr>
      <t xml:space="preserve">    y w ; PBac{Fancl} / MKRS, Sb  </t>
    </r>
  </si>
  <si>
    <r>
      <t xml:space="preserve">Blm
</t>
    </r>
    <r>
      <rPr>
        <b/>
        <i/>
        <sz val="12"/>
        <color theme="1"/>
        <rFont val="Calibri"/>
        <family val="2"/>
        <scheme val="minor"/>
      </rPr>
      <t>w; st Blm</t>
    </r>
    <r>
      <rPr>
        <b/>
        <i/>
        <vertAlign val="superscript"/>
        <sz val="12"/>
        <color theme="1"/>
        <rFont val="Calibri"/>
        <family val="2"/>
        <scheme val="minor"/>
      </rPr>
      <t>D2</t>
    </r>
    <r>
      <rPr>
        <b/>
        <i/>
        <sz val="12"/>
        <color theme="1"/>
        <rFont val="Calibri"/>
        <family val="2"/>
        <scheme val="minor"/>
      </rPr>
      <t xml:space="preserve">/ TM3, Sb    </t>
    </r>
    <r>
      <rPr>
        <b/>
        <sz val="12"/>
        <color theme="1"/>
        <rFont val="Calibri"/>
        <family val="2"/>
        <scheme val="minor"/>
      </rPr>
      <t>X</t>
    </r>
    <r>
      <rPr>
        <b/>
        <i/>
        <sz val="12"/>
        <color theme="1"/>
        <rFont val="Calibri"/>
        <family val="2"/>
        <scheme val="minor"/>
      </rPr>
      <t xml:space="preserve">    w; Blm</t>
    </r>
    <r>
      <rPr>
        <b/>
        <i/>
        <vertAlign val="superscript"/>
        <sz val="12"/>
        <color theme="1"/>
        <rFont val="Calibri"/>
        <family val="2"/>
        <scheme val="minor"/>
      </rPr>
      <t>N1</t>
    </r>
    <r>
      <rPr>
        <b/>
        <i/>
        <sz val="12"/>
        <color theme="1"/>
        <rFont val="Calibri"/>
        <family val="2"/>
        <scheme val="minor"/>
      </rPr>
      <t xml:space="preserve"> / TM3, Sb</t>
    </r>
  </si>
  <si>
    <r>
      <t xml:space="preserve">Blm Fancm
</t>
    </r>
    <r>
      <rPr>
        <b/>
        <i/>
        <sz val="12"/>
        <color theme="1"/>
        <rFont val="Calibri"/>
        <family val="2"/>
        <scheme val="minor"/>
      </rPr>
      <t>st Blm</t>
    </r>
    <r>
      <rPr>
        <b/>
        <i/>
        <vertAlign val="superscript"/>
        <sz val="12"/>
        <color theme="1"/>
        <rFont val="Calibri"/>
        <family val="2"/>
        <scheme val="minor"/>
      </rPr>
      <t>D2</t>
    </r>
    <r>
      <rPr>
        <b/>
        <i/>
        <sz val="12"/>
        <color theme="1"/>
        <rFont val="Calibri"/>
        <family val="2"/>
        <scheme val="minor"/>
      </rPr>
      <t xml:space="preserve"> Df(3R)ED6058 / TM3, Sb    X    Blm</t>
    </r>
    <r>
      <rPr>
        <b/>
        <i/>
        <vertAlign val="superscript"/>
        <sz val="12"/>
        <color theme="1"/>
        <rFont val="Calibri"/>
        <family val="2"/>
        <scheme val="minor"/>
      </rPr>
      <t>N1</t>
    </r>
    <r>
      <rPr>
        <b/>
        <i/>
        <sz val="12"/>
        <color theme="1"/>
        <rFont val="Calibri"/>
        <family val="2"/>
        <scheme val="minor"/>
      </rPr>
      <t xml:space="preserve"> Fancm</t>
    </r>
    <r>
      <rPr>
        <b/>
        <i/>
        <vertAlign val="superscript"/>
        <sz val="12"/>
        <color theme="1"/>
        <rFont val="Calibri"/>
        <family val="2"/>
        <scheme val="minor"/>
      </rPr>
      <t>0693</t>
    </r>
    <r>
      <rPr>
        <b/>
        <i/>
        <sz val="12"/>
        <color theme="1"/>
        <rFont val="Calibri"/>
        <family val="2"/>
        <scheme val="minor"/>
      </rPr>
      <t xml:space="preserve"> / TM3, Sb</t>
    </r>
  </si>
  <si>
    <r>
      <t xml:space="preserve">The raw data in these sheets are summarized and discussed in Kuo </t>
    </r>
    <r>
      <rPr>
        <b/>
        <i/>
        <sz val="11"/>
        <color theme="1"/>
        <rFont val="Calibri"/>
        <family val="2"/>
        <scheme val="minor"/>
      </rPr>
      <t>et al.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Genetics</t>
    </r>
    <r>
      <rPr>
        <b/>
        <sz val="11"/>
        <color theme="1"/>
        <rFont val="Calibri"/>
        <family val="2"/>
        <scheme val="minor"/>
      </rPr>
      <t xml:space="preserve"> (2014).
Sheets contain raw counts of crosses either treated or untreated with the designated DNA damaging agents
       HN2 = the nitrogen mustard mechloramin
       MMS = methane methylsulfonate
       IR = ionizing radiation (gamma rays from a </t>
    </r>
    <r>
      <rPr>
        <b/>
        <vertAlign val="superscript"/>
        <sz val="11"/>
        <color theme="1"/>
        <rFont val="Calibri"/>
        <family val="2"/>
        <scheme val="minor"/>
      </rPr>
      <t>137</t>
    </r>
    <r>
      <rPr>
        <b/>
        <sz val="11"/>
        <color theme="1"/>
        <rFont val="Calibri"/>
        <family val="2"/>
        <scheme val="minor"/>
      </rPr>
      <t xml:space="preserve">Cs source)
In all cases, control progeny carry a balancer that is wild-type for the genes being tested and that carries the </t>
    </r>
    <r>
      <rPr>
        <b/>
        <i/>
        <sz val="11"/>
        <color theme="1"/>
        <rFont val="Calibri"/>
        <family val="2"/>
        <scheme val="minor"/>
      </rPr>
      <t>Sb</t>
    </r>
    <r>
      <rPr>
        <b/>
        <sz val="11"/>
        <color theme="1"/>
        <rFont val="Calibri"/>
        <family val="2"/>
        <scheme val="minor"/>
      </rPr>
      <t xml:space="preserve"> dominant marker; therefore,
control progeny have stubble bristles and experimental progeny have wild-type bristles.  
"Relative" (blue columns) are survival of mutants </t>
    </r>
    <r>
      <rPr>
        <b/>
        <i/>
        <sz val="11"/>
        <color theme="1"/>
        <rFont val="Calibri"/>
        <family val="2"/>
        <scheme val="minor"/>
      </rPr>
      <t>relative</t>
    </r>
    <r>
      <rPr>
        <b/>
        <sz val="11"/>
        <color theme="1"/>
        <rFont val="Calibri"/>
        <family val="2"/>
        <scheme val="minor"/>
      </rPr>
      <t xml:space="preserve"> to survival of wild-type flies.  We also attempted to approximate overall survival, as
described on the last sheet.
Most experiments had 2 or 3 technical replicates (dosings on different days), each with 8-10 biological replicates (different vials).
Vials with fewer than 20 progeny were excluded from this analysis.  For these reasons, vial numbers may be discontiguous and repeated
in a single experiment.
These experiments were performed in 2011-2013.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</si>
</sst>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1" fillId="0" borderId="0" xfId="1"/>
    <xf numFmtId="2" fontId="1" fillId="0" borderId="0" xfId="1" applyNumberFormat="1"/>
    <xf numFmtId="0" fontId="2" fillId="0" borderId="0" xfId="1" applyFont="1"/>
    <xf numFmtId="0" fontId="1" fillId="0" borderId="0" xfId="1" applyFill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/>
    <xf numFmtId="2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2" fontId="2" fillId="2" borderId="37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4" fillId="4" borderId="8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2" fontId="4" fillId="0" borderId="0" xfId="0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1" fillId="0" borderId="0" xfId="1" applyBorder="1"/>
    <xf numFmtId="0" fontId="1" fillId="0" borderId="6" xfId="1" applyFill="1" applyBorder="1"/>
    <xf numFmtId="0" fontId="1" fillId="0" borderId="51" xfId="1" applyFill="1" applyBorder="1"/>
    <xf numFmtId="0" fontId="1" fillId="0" borderId="51" xfId="1" applyBorder="1"/>
    <xf numFmtId="0" fontId="1" fillId="0" borderId="50" xfId="1" applyBorder="1"/>
    <xf numFmtId="0" fontId="1" fillId="0" borderId="53" xfId="1" applyBorder="1"/>
    <xf numFmtId="0" fontId="7" fillId="0" borderId="56" xfId="1" applyFont="1" applyBorder="1"/>
    <xf numFmtId="0" fontId="7" fillId="0" borderId="57" xfId="1" applyFont="1" applyBorder="1"/>
    <xf numFmtId="0" fontId="7" fillId="0" borderId="17" xfId="1" applyFont="1" applyBorder="1"/>
    <xf numFmtId="0" fontId="2" fillId="0" borderId="17" xfId="1" applyFont="1" applyBorder="1"/>
    <xf numFmtId="0" fontId="3" fillId="0" borderId="29" xfId="1" applyFont="1" applyBorder="1" applyAlignment="1">
      <alignment horizontal="center"/>
    </xf>
    <xf numFmtId="0" fontId="3" fillId="0" borderId="50" xfId="1" applyFont="1" applyBorder="1" applyAlignment="1">
      <alignment horizontal="center"/>
    </xf>
    <xf numFmtId="0" fontId="3" fillId="0" borderId="51" xfId="1" applyFont="1" applyBorder="1" applyAlignment="1">
      <alignment horizontal="center"/>
    </xf>
    <xf numFmtId="0" fontId="2" fillId="0" borderId="0" xfId="1" applyFont="1" applyFill="1" applyBorder="1" applyAlignment="1"/>
    <xf numFmtId="0" fontId="3" fillId="0" borderId="27" xfId="1" applyFont="1" applyBorder="1" applyAlignment="1">
      <alignment horizontal="center"/>
    </xf>
    <xf numFmtId="0" fontId="1" fillId="0" borderId="29" xfId="1" applyBorder="1"/>
    <xf numFmtId="0" fontId="1" fillId="0" borderId="27" xfId="1" applyBorder="1"/>
    <xf numFmtId="0" fontId="1" fillId="0" borderId="27" xfId="1" applyFill="1" applyBorder="1"/>
    <xf numFmtId="1" fontId="1" fillId="0" borderId="27" xfId="1" applyNumberFormat="1" applyBorder="1"/>
    <xf numFmtId="0" fontId="3" fillId="0" borderId="56" xfId="1" applyFont="1" applyBorder="1" applyAlignment="1">
      <alignment horizontal="center"/>
    </xf>
    <xf numFmtId="2" fontId="2" fillId="4" borderId="8" xfId="1" applyNumberFormat="1" applyFont="1" applyFill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2" fontId="2" fillId="0" borderId="56" xfId="1" applyNumberFormat="1" applyFont="1" applyFill="1" applyBorder="1" applyAlignment="1">
      <alignment horizontal="center"/>
    </xf>
    <xf numFmtId="2" fontId="2" fillId="0" borderId="57" xfId="1" applyNumberFormat="1" applyFont="1" applyFill="1" applyBorder="1" applyAlignment="1">
      <alignment horizontal="center"/>
    </xf>
    <xf numFmtId="2" fontId="10" fillId="5" borderId="8" xfId="1" applyNumberFormat="1" applyFont="1" applyFill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" fillId="0" borderId="50" xfId="1" applyFill="1" applyBorder="1"/>
    <xf numFmtId="1" fontId="1" fillId="0" borderId="51" xfId="1" applyNumberFormat="1" applyFill="1" applyBorder="1"/>
    <xf numFmtId="0" fontId="1" fillId="0" borderId="53" xfId="1" applyFill="1" applyBorder="1"/>
    <xf numFmtId="1" fontId="1" fillId="0" borderId="0" xfId="1" applyNumberFormat="1" applyFill="1" applyBorder="1"/>
    <xf numFmtId="0" fontId="1" fillId="0" borderId="54" xfId="1" applyFill="1" applyBorder="1"/>
    <xf numFmtId="2" fontId="2" fillId="0" borderId="17" xfId="1" applyNumberFormat="1" applyFont="1" applyFill="1" applyBorder="1" applyAlignment="1">
      <alignment horizontal="center"/>
    </xf>
    <xf numFmtId="0" fontId="1" fillId="0" borderId="52" xfId="1" applyFill="1" applyBorder="1"/>
    <xf numFmtId="0" fontId="1" fillId="0" borderId="55" xfId="1" applyFill="1" applyBorder="1"/>
    <xf numFmtId="0" fontId="4" fillId="3" borderId="8" xfId="0" applyFont="1" applyFill="1" applyBorder="1" applyAlignment="1">
      <alignment horizontal="left" vertical="top" wrapText="1"/>
    </xf>
    <xf numFmtId="2" fontId="0" fillId="6" borderId="22" xfId="0" applyNumberFormat="1" applyFill="1" applyBorder="1" applyAlignment="1">
      <alignment horizontal="center"/>
    </xf>
    <xf numFmtId="2" fontId="0" fillId="6" borderId="24" xfId="0" applyNumberFormat="1" applyFill="1" applyBorder="1" applyAlignment="1">
      <alignment horizontal="center"/>
    </xf>
    <xf numFmtId="2" fontId="0" fillId="6" borderId="26" xfId="0" applyNumberFormat="1" applyFill="1" applyBorder="1" applyAlignment="1">
      <alignment horizontal="center"/>
    </xf>
    <xf numFmtId="2" fontId="0" fillId="6" borderId="25" xfId="0" applyNumberFormat="1" applyFill="1" applyBorder="1" applyAlignment="1">
      <alignment horizontal="center"/>
    </xf>
    <xf numFmtId="2" fontId="11" fillId="6" borderId="22" xfId="0" applyNumberFormat="1" applyFont="1" applyFill="1" applyBorder="1" applyAlignment="1">
      <alignment horizontal="center"/>
    </xf>
    <xf numFmtId="2" fontId="11" fillId="6" borderId="24" xfId="0" applyNumberFormat="1" applyFont="1" applyFill="1" applyBorder="1" applyAlignment="1">
      <alignment horizontal="center"/>
    </xf>
    <xf numFmtId="2" fontId="0" fillId="6" borderId="24" xfId="0" applyNumberFormat="1" applyFont="1" applyFill="1" applyBorder="1" applyAlignment="1">
      <alignment horizontal="center"/>
    </xf>
    <xf numFmtId="2" fontId="0" fillId="6" borderId="25" xfId="0" applyNumberFormat="1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2" fontId="11" fillId="6" borderId="25" xfId="0" applyNumberFormat="1" applyFont="1" applyFill="1" applyBorder="1" applyAlignment="1">
      <alignment horizontal="center"/>
    </xf>
    <xf numFmtId="2" fontId="0" fillId="6" borderId="23" xfId="0" applyNumberFormat="1" applyFill="1" applyBorder="1" applyAlignment="1">
      <alignment horizontal="center"/>
    </xf>
    <xf numFmtId="2" fontId="11" fillId="6" borderId="26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49" fontId="2" fillId="2" borderId="59" xfId="0" applyNumberFormat="1" applyFont="1" applyFill="1" applyBorder="1" applyAlignment="1">
      <alignment horizontal="center"/>
    </xf>
    <xf numFmtId="49" fontId="2" fillId="2" borderId="58" xfId="0" applyNumberFormat="1" applyFont="1" applyFill="1" applyBorder="1" applyAlignment="1">
      <alignment horizontal="center"/>
    </xf>
    <xf numFmtId="49" fontId="2" fillId="2" borderId="60" xfId="0" applyNumberFormat="1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8" fillId="4" borderId="29" xfId="1" applyFont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center" vertical="center"/>
    </xf>
    <xf numFmtId="0" fontId="8" fillId="4" borderId="28" xfId="1" applyFont="1" applyFill="1" applyBorder="1" applyAlignment="1">
      <alignment horizontal="center" vertical="center"/>
    </xf>
    <xf numFmtId="49" fontId="3" fillId="0" borderId="29" xfId="1" applyNumberFormat="1" applyFont="1" applyBorder="1" applyAlignment="1">
      <alignment horizontal="center"/>
    </xf>
    <xf numFmtId="49" fontId="1" fillId="0" borderId="27" xfId="1" applyNumberFormat="1" applyBorder="1" applyAlignment="1">
      <alignment horizontal="center"/>
    </xf>
    <xf numFmtId="49" fontId="1" fillId="0" borderId="28" xfId="1" applyNumberFormat="1" applyBorder="1" applyAlignment="1">
      <alignment horizontal="center"/>
    </xf>
    <xf numFmtId="0" fontId="3" fillId="0" borderId="5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3" fillId="0" borderId="55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No drug</c:v>
          </c:tx>
          <c:invertIfNegative val="0"/>
          <c:cat>
            <c:strLit>
              <c:ptCount val="1"/>
              <c:pt idx="0">
                <c:v>CPT (0.01mM)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fancm</c:v>
          </c:tx>
          <c:invertIfNegative val="0"/>
          <c:cat>
            <c:strLit>
              <c:ptCount val="1"/>
              <c:pt idx="0">
                <c:v>CPT (0.01mM)</c:v>
              </c:pt>
            </c:strLit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mus309</c:v>
          </c:tx>
          <c:invertIfNegative val="0"/>
          <c:cat>
            <c:strLit>
              <c:ptCount val="1"/>
              <c:pt idx="0">
                <c:v>CPT (0.01mM)</c:v>
              </c:pt>
            </c:strLit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mus309 fancm</c:v>
          </c:tx>
          <c:invertIfNegative val="0"/>
          <c:cat>
            <c:strLit>
              <c:ptCount val="1"/>
              <c:pt idx="0">
                <c:v>CPT (0.01mM)</c:v>
              </c:pt>
            </c:strLit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40672"/>
        <c:axId val="86942464"/>
      </c:barChart>
      <c:catAx>
        <c:axId val="869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42464"/>
        <c:crosses val="autoZero"/>
        <c:auto val="1"/>
        <c:lblAlgn val="ctr"/>
        <c:lblOffset val="100"/>
        <c:noMultiLvlLbl val="0"/>
      </c:catAx>
      <c:valAx>
        <c:axId val="8694246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694067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No drug</c:v>
          </c:tx>
          <c:invertIfNegative val="0"/>
          <c:cat>
            <c:strLit>
              <c:ptCount val="1"/>
              <c:pt idx="0">
                <c:v>UV (1000erg)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fancm</c:v>
          </c:tx>
          <c:invertIfNegative val="0"/>
          <c:cat>
            <c:strLit>
              <c:ptCount val="1"/>
              <c:pt idx="0">
                <c:v>UV (1000erg)</c:v>
              </c:pt>
            </c:strLit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mus309</c:v>
          </c:tx>
          <c:invertIfNegative val="0"/>
          <c:cat>
            <c:strLit>
              <c:ptCount val="1"/>
              <c:pt idx="0">
                <c:v>UV (1000erg)</c:v>
              </c:pt>
            </c:strLit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mus309 fancm</c:v>
          </c:tx>
          <c:invertIfNegative val="0"/>
          <c:cat>
            <c:strLit>
              <c:ptCount val="1"/>
              <c:pt idx="0">
                <c:v>UV (1000erg)</c:v>
              </c:pt>
            </c:strLit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60768"/>
        <c:axId val="87032192"/>
      </c:barChart>
      <c:catAx>
        <c:axId val="8696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032192"/>
        <c:crosses val="autoZero"/>
        <c:auto val="1"/>
        <c:lblAlgn val="ctr"/>
        <c:lblOffset val="100"/>
        <c:noMultiLvlLbl val="0"/>
      </c:catAx>
      <c:valAx>
        <c:axId val="8703219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696076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No drug</c:v>
          </c:tx>
          <c:invertIfNegative val="0"/>
          <c:cat>
            <c:strLit>
              <c:ptCount val="1"/>
              <c:pt idx="0">
                <c:v>IR (rad)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1000</c:v>
          </c:tx>
          <c:invertIfNegative val="0"/>
          <c:cat>
            <c:strLit>
              <c:ptCount val="1"/>
              <c:pt idx="0">
                <c:v>IR (rad)</c:v>
              </c:pt>
            </c:strLit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2000</c:v>
          </c:tx>
          <c:invertIfNegative val="0"/>
          <c:cat>
            <c:strLit>
              <c:ptCount val="1"/>
              <c:pt idx="0">
                <c:v>IR (rad)</c:v>
              </c:pt>
            </c:strLit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62016"/>
        <c:axId val="87063552"/>
      </c:barChart>
      <c:catAx>
        <c:axId val="870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063552"/>
        <c:crosses val="autoZero"/>
        <c:auto val="1"/>
        <c:lblAlgn val="ctr"/>
        <c:lblOffset val="100"/>
        <c:noMultiLvlLbl val="0"/>
      </c:catAx>
      <c:valAx>
        <c:axId val="8706355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706201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No drug</c:v>
          </c:tx>
          <c:invertIfNegative val="0"/>
          <c:cat>
            <c:strLit>
              <c:ptCount val="1"/>
              <c:pt idx="0">
                <c:v>HU (mM)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70</c:v>
          </c:tx>
          <c:invertIfNegative val="0"/>
          <c:cat>
            <c:strLit>
              <c:ptCount val="1"/>
              <c:pt idx="0">
                <c:v>HU (mM)</c:v>
              </c:pt>
            </c:strLit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140</c:v>
          </c:tx>
          <c:invertIfNegative val="0"/>
          <c:cat>
            <c:strLit>
              <c:ptCount val="1"/>
              <c:pt idx="0">
                <c:v>HU (mM)</c:v>
              </c:pt>
            </c:strLit>
          </c:cat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93632"/>
        <c:axId val="87095168"/>
      </c:barChart>
      <c:catAx>
        <c:axId val="870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095168"/>
        <c:crosses val="autoZero"/>
        <c:auto val="1"/>
        <c:lblAlgn val="ctr"/>
        <c:lblOffset val="100"/>
        <c:noMultiLvlLbl val="0"/>
      </c:catAx>
      <c:valAx>
        <c:axId val="87095168"/>
        <c:scaling>
          <c:orientation val="minMax"/>
          <c:max val="1.2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709363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No drug</c:v>
          </c:tx>
          <c:invertIfNegative val="0"/>
          <c:cat>
            <c:strLit>
              <c:ptCount val="1"/>
              <c:pt idx="0">
                <c:v>UV (erg)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1000</c:v>
          </c:tx>
          <c:invertIfNegative val="0"/>
          <c:cat>
            <c:strLit>
              <c:ptCount val="1"/>
              <c:pt idx="0">
                <c:v>UV (erg)</c:v>
              </c:pt>
            </c:strLit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2000</c:v>
          </c:tx>
          <c:invertIfNegative val="0"/>
          <c:cat>
            <c:strLit>
              <c:ptCount val="1"/>
              <c:pt idx="0">
                <c:v>UV (erg)</c:v>
              </c:pt>
            </c:strLit>
          </c:cat>
          <c:val>
            <c:numRef>
              <c:f>Absolute!#REF!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68544"/>
        <c:axId val="87870080"/>
      </c:barChart>
      <c:catAx>
        <c:axId val="878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870080"/>
        <c:crosses val="autoZero"/>
        <c:auto val="1"/>
        <c:lblAlgn val="ctr"/>
        <c:lblOffset val="100"/>
        <c:noMultiLvlLbl val="0"/>
      </c:catAx>
      <c:valAx>
        <c:axId val="87870080"/>
        <c:scaling>
          <c:orientation val="minMax"/>
          <c:max val="1.2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786854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11</xdr:row>
      <xdr:rowOff>0</xdr:rowOff>
    </xdr:from>
    <xdr:to>
      <xdr:col>52</xdr:col>
      <xdr:colOff>304800</xdr:colOff>
      <xdr:row>27</xdr:row>
      <xdr:rowOff>152400</xdr:rowOff>
    </xdr:to>
    <xdr:graphicFrame macro="">
      <xdr:nvGraphicFramePr>
        <xdr:cNvPr id="1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0</xdr:colOff>
      <xdr:row>11</xdr:row>
      <xdr:rowOff>0</xdr:rowOff>
    </xdr:from>
    <xdr:to>
      <xdr:col>60</xdr:col>
      <xdr:colOff>304800</xdr:colOff>
      <xdr:row>27</xdr:row>
      <xdr:rowOff>152400</xdr:rowOff>
    </xdr:to>
    <xdr:graphicFrame macro="">
      <xdr:nvGraphicFramePr>
        <xdr:cNvPr id="1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0</xdr:colOff>
      <xdr:row>11</xdr:row>
      <xdr:rowOff>0</xdr:rowOff>
    </xdr:from>
    <xdr:to>
      <xdr:col>68</xdr:col>
      <xdr:colOff>304800</xdr:colOff>
      <xdr:row>27</xdr:row>
      <xdr:rowOff>152400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68</xdr:col>
      <xdr:colOff>304800</xdr:colOff>
      <xdr:row>45</xdr:row>
      <xdr:rowOff>152400</xdr:rowOff>
    </xdr:to>
    <xdr:graphicFrame macro="">
      <xdr:nvGraphicFramePr>
        <xdr:cNvPr id="2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61</xdr:col>
      <xdr:colOff>0</xdr:colOff>
      <xdr:row>47</xdr:row>
      <xdr:rowOff>0</xdr:rowOff>
    </xdr:from>
    <xdr:to>
      <xdr:col>68</xdr:col>
      <xdr:colOff>304800</xdr:colOff>
      <xdr:row>63</xdr:row>
      <xdr:rowOff>152400</xdr:rowOff>
    </xdr:to>
    <xdr:graphicFrame macro="">
      <xdr:nvGraphicFramePr>
        <xdr:cNvPr id="2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2"/>
  <sheetViews>
    <sheetView tabSelected="1" workbookViewId="0"/>
  </sheetViews>
  <sheetFormatPr defaultRowHeight="15" x14ac:dyDescent="0.25"/>
  <cols>
    <col min="1" max="1" width="128.42578125" customWidth="1"/>
  </cols>
  <sheetData>
    <row r="1" spans="1:1" ht="280.5" customHeight="1" thickBot="1" x14ac:dyDescent="0.3">
      <c r="A1" s="164" t="s">
        <v>41</v>
      </c>
    </row>
    <row r="2" spans="1:1" ht="18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4"/>
  <sheetViews>
    <sheetView workbookViewId="0">
      <pane ySplit="1" topLeftCell="A2" activePane="bottomLeft" state="frozen"/>
      <selection activeCell="E1" sqref="E1"/>
      <selection pane="bottomLeft" sqref="A1:J1"/>
    </sheetView>
  </sheetViews>
  <sheetFormatPr defaultRowHeight="15" x14ac:dyDescent="0.25"/>
  <cols>
    <col min="1" max="1" width="6.5703125" customWidth="1"/>
    <col min="2" max="2" width="6.85546875" customWidth="1"/>
    <col min="3" max="4" width="7.28515625" customWidth="1"/>
    <col min="5" max="5" width="8.7109375" customWidth="1"/>
    <col min="6" max="6" width="7.28515625" customWidth="1"/>
    <col min="7" max="8" width="7.5703125" customWidth="1"/>
    <col min="9" max="9" width="8.42578125" customWidth="1"/>
    <col min="10" max="10" width="7.7109375" customWidth="1"/>
    <col min="11" max="11" width="5.5703125" customWidth="1"/>
    <col min="12" max="12" width="6.5703125" customWidth="1"/>
    <col min="13" max="13" width="6.85546875" customWidth="1"/>
    <col min="14" max="15" width="7.28515625" customWidth="1"/>
    <col min="16" max="16" width="8.7109375" customWidth="1"/>
    <col min="17" max="17" width="7.28515625" customWidth="1"/>
    <col min="18" max="19" width="7.5703125" customWidth="1"/>
    <col min="20" max="20" width="8.42578125" customWidth="1"/>
    <col min="21" max="21" width="7.7109375" customWidth="1"/>
    <col min="22" max="22" width="5.5703125" customWidth="1"/>
    <col min="23" max="23" width="6.5703125" customWidth="1"/>
    <col min="24" max="24" width="6.85546875" customWidth="1"/>
    <col min="25" max="26" width="7.28515625" customWidth="1"/>
    <col min="27" max="27" width="8.7109375" customWidth="1"/>
    <col min="28" max="28" width="7.28515625" customWidth="1"/>
    <col min="29" max="30" width="7.5703125" customWidth="1"/>
    <col min="31" max="31" width="8.42578125" customWidth="1"/>
    <col min="32" max="32" width="7.7109375" customWidth="1"/>
    <col min="33" max="33" width="5.7109375" customWidth="1"/>
    <col min="34" max="34" width="6.5703125" customWidth="1"/>
    <col min="35" max="35" width="6.85546875" customWidth="1"/>
    <col min="36" max="37" width="7.28515625" customWidth="1"/>
    <col min="38" max="38" width="8.7109375" customWidth="1"/>
    <col min="39" max="39" width="7.28515625" customWidth="1"/>
    <col min="40" max="41" width="7.5703125" customWidth="1"/>
    <col min="42" max="42" width="8.42578125" customWidth="1"/>
    <col min="43" max="43" width="7.7109375" customWidth="1"/>
  </cols>
  <sheetData>
    <row r="1" spans="1:43" ht="45" customHeight="1" thickBot="1" x14ac:dyDescent="0.3">
      <c r="A1" s="201" t="s">
        <v>37</v>
      </c>
      <c r="B1" s="204"/>
      <c r="C1" s="204"/>
      <c r="D1" s="204"/>
      <c r="E1" s="204"/>
      <c r="F1" s="204"/>
      <c r="G1" s="204"/>
      <c r="H1" s="204"/>
      <c r="I1" s="204"/>
      <c r="J1" s="205"/>
      <c r="L1" s="201" t="s">
        <v>38</v>
      </c>
      <c r="M1" s="202"/>
      <c r="N1" s="202"/>
      <c r="O1" s="202"/>
      <c r="P1" s="202"/>
      <c r="Q1" s="202"/>
      <c r="R1" s="202"/>
      <c r="S1" s="202"/>
      <c r="T1" s="202"/>
      <c r="U1" s="203"/>
      <c r="W1" s="201" t="s">
        <v>39</v>
      </c>
      <c r="X1" s="202"/>
      <c r="Y1" s="202"/>
      <c r="Z1" s="202"/>
      <c r="AA1" s="202"/>
      <c r="AB1" s="202"/>
      <c r="AC1" s="202"/>
      <c r="AD1" s="202"/>
      <c r="AE1" s="202"/>
      <c r="AF1" s="203"/>
      <c r="AH1" s="188" t="s">
        <v>40</v>
      </c>
      <c r="AI1" s="189"/>
      <c r="AJ1" s="189"/>
      <c r="AK1" s="189"/>
      <c r="AL1" s="189"/>
      <c r="AM1" s="189"/>
      <c r="AN1" s="189"/>
      <c r="AO1" s="189"/>
      <c r="AP1" s="189"/>
      <c r="AQ1" s="190"/>
    </row>
    <row r="2" spans="1:43" ht="14.45" customHeight="1" x14ac:dyDescent="0.25">
      <c r="A2" s="196" t="s">
        <v>3</v>
      </c>
      <c r="B2" s="200" t="s">
        <v>1</v>
      </c>
      <c r="C2" s="200"/>
      <c r="D2" s="200"/>
      <c r="E2" s="200"/>
      <c r="F2" s="197" t="s">
        <v>2</v>
      </c>
      <c r="G2" s="198"/>
      <c r="H2" s="198"/>
      <c r="I2" s="199"/>
      <c r="J2" s="195" t="s">
        <v>7</v>
      </c>
      <c r="L2" s="191" t="s">
        <v>3</v>
      </c>
      <c r="M2" s="179" t="s">
        <v>1</v>
      </c>
      <c r="N2" s="179"/>
      <c r="O2" s="179"/>
      <c r="P2" s="179"/>
      <c r="Q2" s="184" t="s">
        <v>2</v>
      </c>
      <c r="R2" s="182"/>
      <c r="S2" s="182"/>
      <c r="T2" s="183"/>
      <c r="U2" s="186" t="s">
        <v>7</v>
      </c>
      <c r="W2" s="191" t="s">
        <v>3</v>
      </c>
      <c r="X2" s="179" t="s">
        <v>1</v>
      </c>
      <c r="Y2" s="179"/>
      <c r="Z2" s="179"/>
      <c r="AA2" s="179"/>
      <c r="AB2" s="184" t="s">
        <v>2</v>
      </c>
      <c r="AC2" s="182"/>
      <c r="AD2" s="182"/>
      <c r="AE2" s="183"/>
      <c r="AF2" s="186" t="s">
        <v>7</v>
      </c>
      <c r="AH2" s="191" t="s">
        <v>3</v>
      </c>
      <c r="AI2" s="179" t="s">
        <v>1</v>
      </c>
      <c r="AJ2" s="179"/>
      <c r="AK2" s="179"/>
      <c r="AL2" s="179"/>
      <c r="AM2" s="184" t="s">
        <v>2</v>
      </c>
      <c r="AN2" s="182"/>
      <c r="AO2" s="182"/>
      <c r="AP2" s="183"/>
      <c r="AQ2" s="186" t="s">
        <v>7</v>
      </c>
    </row>
    <row r="3" spans="1:43" ht="14.45" customHeight="1" thickBot="1" x14ac:dyDescent="0.3">
      <c r="A3" s="193"/>
      <c r="B3" s="92" t="s">
        <v>4</v>
      </c>
      <c r="C3" s="70" t="s">
        <v>5</v>
      </c>
      <c r="D3" s="69" t="s">
        <v>17</v>
      </c>
      <c r="E3" s="77" t="s">
        <v>6</v>
      </c>
      <c r="F3" s="72" t="s">
        <v>4</v>
      </c>
      <c r="G3" s="8" t="s">
        <v>5</v>
      </c>
      <c r="H3" s="69" t="s">
        <v>17</v>
      </c>
      <c r="I3" s="73" t="s">
        <v>6</v>
      </c>
      <c r="J3" s="194"/>
      <c r="L3" s="193"/>
      <c r="M3" s="85" t="s">
        <v>4</v>
      </c>
      <c r="N3" s="8" t="s">
        <v>5</v>
      </c>
      <c r="O3" s="69" t="s">
        <v>17</v>
      </c>
      <c r="P3" s="71" t="s">
        <v>6</v>
      </c>
      <c r="Q3" s="72" t="s">
        <v>4</v>
      </c>
      <c r="R3" s="8" t="s">
        <v>5</v>
      </c>
      <c r="S3" s="69" t="s">
        <v>17</v>
      </c>
      <c r="T3" s="73" t="s">
        <v>6</v>
      </c>
      <c r="U3" s="194"/>
      <c r="W3" s="193"/>
      <c r="X3" s="85" t="s">
        <v>4</v>
      </c>
      <c r="Y3" s="8" t="s">
        <v>5</v>
      </c>
      <c r="Z3" s="69" t="s">
        <v>17</v>
      </c>
      <c r="AA3" s="71" t="s">
        <v>6</v>
      </c>
      <c r="AB3" s="72" t="s">
        <v>4</v>
      </c>
      <c r="AC3" s="8" t="s">
        <v>5</v>
      </c>
      <c r="AD3" s="69" t="s">
        <v>17</v>
      </c>
      <c r="AE3" s="38" t="s">
        <v>6</v>
      </c>
      <c r="AF3" s="194"/>
      <c r="AH3" s="193"/>
      <c r="AI3" s="85" t="s">
        <v>4</v>
      </c>
      <c r="AJ3" s="8" t="s">
        <v>5</v>
      </c>
      <c r="AK3" s="69" t="s">
        <v>17</v>
      </c>
      <c r="AL3" s="71" t="s">
        <v>6</v>
      </c>
      <c r="AM3" s="72" t="s">
        <v>4</v>
      </c>
      <c r="AN3" s="8" t="s">
        <v>5</v>
      </c>
      <c r="AO3" s="69" t="s">
        <v>17</v>
      </c>
      <c r="AP3" s="73" t="s">
        <v>6</v>
      </c>
      <c r="AQ3" s="194"/>
    </row>
    <row r="4" spans="1:43" ht="14.45" customHeight="1" x14ac:dyDescent="0.25">
      <c r="A4" s="93">
        <v>4</v>
      </c>
      <c r="B4" s="89">
        <f>19</f>
        <v>19</v>
      </c>
      <c r="C4" s="9">
        <f>19</f>
        <v>19</v>
      </c>
      <c r="D4" s="63">
        <f>SUM(B4:C4)</f>
        <v>38</v>
      </c>
      <c r="E4" s="33">
        <f t="shared" ref="E4:E23" si="0">C4/B4</f>
        <v>1</v>
      </c>
      <c r="F4" s="76">
        <v>13</v>
      </c>
      <c r="G4" s="9">
        <v>17</v>
      </c>
      <c r="H4" s="63">
        <f>SUM(F4:G4)</f>
        <v>30</v>
      </c>
      <c r="I4" s="11">
        <f t="shared" ref="I4:I23" si="1">G4/F4</f>
        <v>1.3076923076923077</v>
      </c>
      <c r="J4" s="165">
        <f t="shared" ref="J4:J23" si="2">I4/E4</f>
        <v>1.3076923076923077</v>
      </c>
      <c r="L4" s="149">
        <v>9</v>
      </c>
      <c r="M4" s="150">
        <f>8+33+29</f>
        <v>70</v>
      </c>
      <c r="N4" s="151">
        <f>9+17+18</f>
        <v>44</v>
      </c>
      <c r="O4" s="152">
        <f>SUM(M4:N4)</f>
        <v>114</v>
      </c>
      <c r="P4" s="153">
        <f t="shared" ref="P4:P33" si="3">N4/M4</f>
        <v>0.62857142857142856</v>
      </c>
      <c r="Q4" s="154">
        <f>14</f>
        <v>14</v>
      </c>
      <c r="R4" s="151">
        <f>18</f>
        <v>18</v>
      </c>
      <c r="S4" s="152">
        <f>SUM(Q4:R4)</f>
        <v>32</v>
      </c>
      <c r="T4" s="155">
        <f t="shared" ref="T4:T33" si="4">R4/Q4</f>
        <v>1.2857142857142858</v>
      </c>
      <c r="U4" s="169">
        <f t="shared" ref="U4:U33" si="5">T4/P4</f>
        <v>2.0454545454545459</v>
      </c>
      <c r="W4" s="90">
        <v>8</v>
      </c>
      <c r="X4" s="89">
        <f>34+21+51</f>
        <v>106</v>
      </c>
      <c r="Y4" s="9">
        <f>16+18+16</f>
        <v>50</v>
      </c>
      <c r="Z4" s="63">
        <f>SUM(X4:Y4)</f>
        <v>156</v>
      </c>
      <c r="AA4" s="33">
        <f t="shared" ref="AA4:AA28" si="6">Y4/X4</f>
        <v>0.47169811320754718</v>
      </c>
      <c r="AB4" s="76">
        <f>11+8</f>
        <v>19</v>
      </c>
      <c r="AC4" s="9">
        <f>8</f>
        <v>8</v>
      </c>
      <c r="AD4" s="63">
        <f>SUM(AB4:AC4)</f>
        <v>27</v>
      </c>
      <c r="AE4" s="33">
        <f t="shared" ref="AE4:AE28" si="7">AC4/AB4</f>
        <v>0.42105263157894735</v>
      </c>
      <c r="AF4" s="165">
        <f t="shared" ref="AF4:AF28" si="8">AE4/AA4</f>
        <v>0.89263157894736833</v>
      </c>
      <c r="AH4" s="83">
        <v>3</v>
      </c>
      <c r="AI4" s="86">
        <f>25+10+1+1</f>
        <v>37</v>
      </c>
      <c r="AJ4" s="5">
        <f>3+8+5+2</f>
        <v>18</v>
      </c>
      <c r="AK4" s="63">
        <f>SUM(AI4:AJ4)</f>
        <v>55</v>
      </c>
      <c r="AL4" s="27">
        <f t="shared" ref="AL4:AL31" si="9">AJ4/AI4</f>
        <v>0.48648648648648651</v>
      </c>
      <c r="AM4" s="74">
        <f>12+10+2</f>
        <v>24</v>
      </c>
      <c r="AN4" s="5">
        <f>4</f>
        <v>4</v>
      </c>
      <c r="AO4" s="63">
        <f>SUM(AM4:AN4)</f>
        <v>28</v>
      </c>
      <c r="AP4" s="12">
        <f t="shared" ref="AP4:AP31" si="10">AN4/AM4</f>
        <v>0.16666666666666666</v>
      </c>
      <c r="AQ4" s="166">
        <f t="shared" ref="AQ4:AQ31" si="11">AP4/AL4</f>
        <v>0.34259259259259256</v>
      </c>
    </row>
    <row r="5" spans="1:43" ht="14.45" customHeight="1" x14ac:dyDescent="0.25">
      <c r="A5" s="88">
        <v>10</v>
      </c>
      <c r="B5" s="86">
        <f>5+23+10+6</f>
        <v>44</v>
      </c>
      <c r="C5" s="5">
        <f>9+3+4+4</f>
        <v>20</v>
      </c>
      <c r="D5" s="5">
        <f t="shared" ref="D5:D23" si="12">SUM(B5:C5)</f>
        <v>64</v>
      </c>
      <c r="E5" s="27">
        <f t="shared" si="0"/>
        <v>0.45454545454545453</v>
      </c>
      <c r="F5" s="74">
        <f>9+59+12</f>
        <v>80</v>
      </c>
      <c r="G5" s="5">
        <f>1+26+7</f>
        <v>34</v>
      </c>
      <c r="H5" s="5">
        <f t="shared" ref="H5:H23" si="13">SUM(F5:G5)</f>
        <v>114</v>
      </c>
      <c r="I5" s="12">
        <f t="shared" si="1"/>
        <v>0.42499999999999999</v>
      </c>
      <c r="J5" s="166">
        <f t="shared" si="2"/>
        <v>0.93500000000000005</v>
      </c>
      <c r="L5" s="82">
        <v>10</v>
      </c>
      <c r="M5" s="86">
        <f>10+19+22</f>
        <v>51</v>
      </c>
      <c r="N5" s="5">
        <f>14+16+19</f>
        <v>49</v>
      </c>
      <c r="O5" s="5">
        <f t="shared" ref="O5:O33" si="14">SUM(M5:N5)</f>
        <v>100</v>
      </c>
      <c r="P5" s="27">
        <f t="shared" si="3"/>
        <v>0.96078431372549022</v>
      </c>
      <c r="Q5" s="74">
        <f>4+9</f>
        <v>13</v>
      </c>
      <c r="R5" s="5">
        <f>15+9</f>
        <v>24</v>
      </c>
      <c r="S5" s="5">
        <f t="shared" ref="S5:S33" si="15">SUM(Q5:R5)</f>
        <v>37</v>
      </c>
      <c r="T5" s="12">
        <f t="shared" si="4"/>
        <v>1.8461538461538463</v>
      </c>
      <c r="U5" s="170">
        <f t="shared" si="5"/>
        <v>1.9215070643642074</v>
      </c>
      <c r="W5" s="88">
        <v>5</v>
      </c>
      <c r="X5" s="86">
        <f>8+34+18+34</f>
        <v>94</v>
      </c>
      <c r="Y5" s="5">
        <f>1+15+17+21</f>
        <v>54</v>
      </c>
      <c r="Z5" s="5">
        <f t="shared" ref="Z5:Z28" si="16">SUM(X5:Y5)</f>
        <v>148</v>
      </c>
      <c r="AA5" s="27">
        <f t="shared" si="6"/>
        <v>0.57446808510638303</v>
      </c>
      <c r="AB5" s="74">
        <f>62+5</f>
        <v>67</v>
      </c>
      <c r="AC5" s="5">
        <f>29</f>
        <v>29</v>
      </c>
      <c r="AD5" s="5">
        <f t="shared" ref="AD5:AD28" si="17">SUM(AB5:AC5)</f>
        <v>96</v>
      </c>
      <c r="AE5" s="27">
        <f t="shared" si="7"/>
        <v>0.43283582089552236</v>
      </c>
      <c r="AF5" s="166">
        <f t="shared" si="8"/>
        <v>0.75345494748479813</v>
      </c>
      <c r="AH5" s="88">
        <v>8</v>
      </c>
      <c r="AI5" s="86">
        <f>35+17+17+19</f>
        <v>88</v>
      </c>
      <c r="AJ5" s="5">
        <f>8+1+6</f>
        <v>15</v>
      </c>
      <c r="AK5" s="5">
        <f t="shared" ref="AK5:AK31" si="18">SUM(AI5:AJ5)</f>
        <v>103</v>
      </c>
      <c r="AL5" s="27">
        <f t="shared" si="9"/>
        <v>0.17045454545454544</v>
      </c>
      <c r="AM5" s="74">
        <f>22+29+5</f>
        <v>56</v>
      </c>
      <c r="AN5" s="5">
        <f>3</f>
        <v>3</v>
      </c>
      <c r="AO5" s="5">
        <f t="shared" ref="AO5:AO31" si="19">SUM(AM5:AN5)</f>
        <v>59</v>
      </c>
      <c r="AP5" s="12">
        <f t="shared" si="10"/>
        <v>5.3571428571428568E-2</v>
      </c>
      <c r="AQ5" s="166">
        <f t="shared" si="11"/>
        <v>0.31428571428571428</v>
      </c>
    </row>
    <row r="6" spans="1:43" ht="14.45" customHeight="1" x14ac:dyDescent="0.25">
      <c r="A6" s="88">
        <v>4</v>
      </c>
      <c r="B6" s="86">
        <f>18+33+19+16</f>
        <v>86</v>
      </c>
      <c r="C6" s="5">
        <f>5+13+7+18</f>
        <v>43</v>
      </c>
      <c r="D6" s="5">
        <f t="shared" si="12"/>
        <v>129</v>
      </c>
      <c r="E6" s="27">
        <f t="shared" si="0"/>
        <v>0.5</v>
      </c>
      <c r="F6" s="74">
        <f>25+33</f>
        <v>58</v>
      </c>
      <c r="G6" s="5">
        <f>1+20+2</f>
        <v>23</v>
      </c>
      <c r="H6" s="5">
        <f t="shared" si="13"/>
        <v>81</v>
      </c>
      <c r="I6" s="12">
        <f t="shared" si="1"/>
        <v>0.39655172413793105</v>
      </c>
      <c r="J6" s="166">
        <f t="shared" si="2"/>
        <v>0.7931034482758621</v>
      </c>
      <c r="L6" s="82">
        <v>2</v>
      </c>
      <c r="M6" s="86">
        <f>20+46+25</f>
        <v>91</v>
      </c>
      <c r="N6" s="5">
        <f>11+23+9</f>
        <v>43</v>
      </c>
      <c r="O6" s="5">
        <f t="shared" si="14"/>
        <v>134</v>
      </c>
      <c r="P6" s="27">
        <f t="shared" si="3"/>
        <v>0.47252747252747251</v>
      </c>
      <c r="Q6" s="74">
        <f>15+11</f>
        <v>26</v>
      </c>
      <c r="R6" s="5">
        <f>20</f>
        <v>20</v>
      </c>
      <c r="S6" s="5">
        <f t="shared" si="15"/>
        <v>46</v>
      </c>
      <c r="T6" s="12">
        <f t="shared" si="4"/>
        <v>0.76923076923076927</v>
      </c>
      <c r="U6" s="170">
        <f t="shared" si="5"/>
        <v>1.6279069767441863</v>
      </c>
      <c r="W6" s="88">
        <v>10</v>
      </c>
      <c r="X6" s="86">
        <f>5+25+17+27</f>
        <v>74</v>
      </c>
      <c r="Y6" s="5">
        <f>4+17+10+15</f>
        <v>46</v>
      </c>
      <c r="Z6" s="5">
        <f t="shared" si="16"/>
        <v>120</v>
      </c>
      <c r="AA6" s="27">
        <f t="shared" si="6"/>
        <v>0.6216216216216216</v>
      </c>
      <c r="AB6" s="74">
        <f>38+1</f>
        <v>39</v>
      </c>
      <c r="AC6" s="5">
        <f>17</f>
        <v>17</v>
      </c>
      <c r="AD6" s="5">
        <f t="shared" si="17"/>
        <v>56</v>
      </c>
      <c r="AE6" s="27">
        <f t="shared" si="7"/>
        <v>0.4358974358974359</v>
      </c>
      <c r="AF6" s="166">
        <f t="shared" si="8"/>
        <v>0.70122630992196211</v>
      </c>
      <c r="AH6" s="82">
        <v>5</v>
      </c>
      <c r="AI6" s="86">
        <f>9+13+41+14+23</f>
        <v>100</v>
      </c>
      <c r="AJ6" s="5">
        <f>4+7+7+10</f>
        <v>28</v>
      </c>
      <c r="AK6" s="5">
        <f t="shared" si="18"/>
        <v>128</v>
      </c>
      <c r="AL6" s="27">
        <f t="shared" si="9"/>
        <v>0.28000000000000003</v>
      </c>
      <c r="AM6" s="74">
        <f>21+38</f>
        <v>59</v>
      </c>
      <c r="AN6" s="5">
        <f>3</f>
        <v>3</v>
      </c>
      <c r="AO6" s="5">
        <f t="shared" si="19"/>
        <v>62</v>
      </c>
      <c r="AP6" s="12">
        <f t="shared" si="10"/>
        <v>5.0847457627118647E-2</v>
      </c>
      <c r="AQ6" s="166">
        <f t="shared" si="11"/>
        <v>0.18159806295399517</v>
      </c>
    </row>
    <row r="7" spans="1:43" ht="14.45" customHeight="1" x14ac:dyDescent="0.25">
      <c r="A7" s="88">
        <v>2</v>
      </c>
      <c r="B7" s="86">
        <f>20+33+10+18</f>
        <v>81</v>
      </c>
      <c r="C7" s="5">
        <f>13+4+5+11</f>
        <v>33</v>
      </c>
      <c r="D7" s="5">
        <f t="shared" si="12"/>
        <v>114</v>
      </c>
      <c r="E7" s="27">
        <f t="shared" si="0"/>
        <v>0.40740740740740738</v>
      </c>
      <c r="F7" s="74">
        <f>20+30+10</f>
        <v>60</v>
      </c>
      <c r="G7" s="5">
        <f>14+5</f>
        <v>19</v>
      </c>
      <c r="H7" s="5">
        <f t="shared" si="13"/>
        <v>79</v>
      </c>
      <c r="I7" s="12">
        <f t="shared" si="1"/>
        <v>0.31666666666666665</v>
      </c>
      <c r="J7" s="166">
        <f t="shared" si="2"/>
        <v>0.77727272727272723</v>
      </c>
      <c r="L7" s="82">
        <v>8</v>
      </c>
      <c r="M7" s="86">
        <f>53+14+25</f>
        <v>92</v>
      </c>
      <c r="N7" s="5">
        <f>20+4+10</f>
        <v>34</v>
      </c>
      <c r="O7" s="5">
        <f t="shared" si="14"/>
        <v>126</v>
      </c>
      <c r="P7" s="27">
        <f t="shared" si="3"/>
        <v>0.36956521739130432</v>
      </c>
      <c r="Q7" s="74">
        <f>21+49+9</f>
        <v>79</v>
      </c>
      <c r="R7" s="5">
        <f>16+20+7</f>
        <v>43</v>
      </c>
      <c r="S7" s="5">
        <f t="shared" si="15"/>
        <v>122</v>
      </c>
      <c r="T7" s="12">
        <f t="shared" si="4"/>
        <v>0.54430379746835444</v>
      </c>
      <c r="U7" s="166">
        <f t="shared" si="5"/>
        <v>1.4728220402084886</v>
      </c>
      <c r="W7" s="88">
        <v>4</v>
      </c>
      <c r="X7" s="86">
        <f>7+21+19+18</f>
        <v>65</v>
      </c>
      <c r="Y7" s="5">
        <f>19+8+15</f>
        <v>42</v>
      </c>
      <c r="Z7" s="5">
        <f t="shared" si="16"/>
        <v>107</v>
      </c>
      <c r="AA7" s="27">
        <f t="shared" si="6"/>
        <v>0.64615384615384619</v>
      </c>
      <c r="AB7" s="74">
        <f>73+9</f>
        <v>82</v>
      </c>
      <c r="AC7" s="5">
        <f>30+2</f>
        <v>32</v>
      </c>
      <c r="AD7" s="5">
        <f t="shared" si="17"/>
        <v>114</v>
      </c>
      <c r="AE7" s="27">
        <f t="shared" si="7"/>
        <v>0.3902439024390244</v>
      </c>
      <c r="AF7" s="166">
        <f t="shared" si="8"/>
        <v>0.6039488966318235</v>
      </c>
      <c r="AH7" s="88">
        <v>10</v>
      </c>
      <c r="AI7" s="86">
        <f>29+13+2+3</f>
        <v>47</v>
      </c>
      <c r="AJ7" s="5">
        <f>9+10+4+4</f>
        <v>27</v>
      </c>
      <c r="AK7" s="5">
        <f t="shared" si="18"/>
        <v>74</v>
      </c>
      <c r="AL7" s="27">
        <f t="shared" si="9"/>
        <v>0.57446808510638303</v>
      </c>
      <c r="AM7" s="74">
        <f>5+19</f>
        <v>24</v>
      </c>
      <c r="AN7" s="5">
        <f>2</f>
        <v>2</v>
      </c>
      <c r="AO7" s="5">
        <f t="shared" si="19"/>
        <v>26</v>
      </c>
      <c r="AP7" s="12">
        <f t="shared" si="10"/>
        <v>8.3333333333333329E-2</v>
      </c>
      <c r="AQ7" s="166">
        <f t="shared" si="11"/>
        <v>0.14506172839506171</v>
      </c>
    </row>
    <row r="8" spans="1:43" x14ac:dyDescent="0.25">
      <c r="A8" s="88">
        <v>8</v>
      </c>
      <c r="B8" s="86">
        <f>5+38+8+5</f>
        <v>56</v>
      </c>
      <c r="C8" s="5">
        <f>16+4+6+8</f>
        <v>34</v>
      </c>
      <c r="D8" s="5">
        <f t="shared" si="12"/>
        <v>90</v>
      </c>
      <c r="E8" s="27">
        <f t="shared" si="0"/>
        <v>0.6071428571428571</v>
      </c>
      <c r="F8" s="74">
        <f>17+34+6</f>
        <v>57</v>
      </c>
      <c r="G8" s="5">
        <f>3+17+6</f>
        <v>26</v>
      </c>
      <c r="H8" s="5">
        <f t="shared" si="13"/>
        <v>83</v>
      </c>
      <c r="I8" s="12">
        <f t="shared" si="1"/>
        <v>0.45614035087719296</v>
      </c>
      <c r="J8" s="166">
        <f t="shared" si="2"/>
        <v>0.75128998968008254</v>
      </c>
      <c r="L8" s="82">
        <v>1</v>
      </c>
      <c r="M8" s="86">
        <f>27+23+34+25+25</f>
        <v>134</v>
      </c>
      <c r="N8" s="5">
        <f>18+12+11+6+14</f>
        <v>61</v>
      </c>
      <c r="O8" s="5">
        <f t="shared" si="14"/>
        <v>195</v>
      </c>
      <c r="P8" s="27">
        <f t="shared" si="3"/>
        <v>0.45522388059701491</v>
      </c>
      <c r="Q8" s="74">
        <f>30+60+24</f>
        <v>114</v>
      </c>
      <c r="R8" s="5">
        <f>17+37+15</f>
        <v>69</v>
      </c>
      <c r="S8" s="5">
        <f t="shared" si="15"/>
        <v>183</v>
      </c>
      <c r="T8" s="12">
        <f t="shared" si="4"/>
        <v>0.60526315789473684</v>
      </c>
      <c r="U8" s="166">
        <f t="shared" si="5"/>
        <v>1.3295944779982745</v>
      </c>
      <c r="W8" s="88">
        <v>8</v>
      </c>
      <c r="X8" s="86">
        <f>6+21+27+26</f>
        <v>80</v>
      </c>
      <c r="Y8" s="5">
        <f>20+8+11</f>
        <v>39</v>
      </c>
      <c r="Z8" s="5">
        <f t="shared" si="16"/>
        <v>119</v>
      </c>
      <c r="AA8" s="27">
        <f t="shared" si="6"/>
        <v>0.48749999999999999</v>
      </c>
      <c r="AB8" s="74">
        <f>49+2</f>
        <v>51</v>
      </c>
      <c r="AC8" s="5">
        <f>14</f>
        <v>14</v>
      </c>
      <c r="AD8" s="5">
        <f t="shared" si="17"/>
        <v>65</v>
      </c>
      <c r="AE8" s="27">
        <f t="shared" si="7"/>
        <v>0.27450980392156865</v>
      </c>
      <c r="AF8" s="166">
        <f t="shared" si="8"/>
        <v>0.56309703368526909</v>
      </c>
      <c r="AH8" s="88">
        <v>5</v>
      </c>
      <c r="AI8" s="86">
        <f>29+18+10+11</f>
        <v>68</v>
      </c>
      <c r="AJ8" s="5">
        <f>5+11+4+3</f>
        <v>23</v>
      </c>
      <c r="AK8" s="5">
        <f t="shared" si="18"/>
        <v>91</v>
      </c>
      <c r="AL8" s="27">
        <f t="shared" si="9"/>
        <v>0.33823529411764708</v>
      </c>
      <c r="AM8" s="74">
        <f>23+23+1</f>
        <v>47</v>
      </c>
      <c r="AN8" s="5">
        <f>2</f>
        <v>2</v>
      </c>
      <c r="AO8" s="5">
        <f t="shared" si="19"/>
        <v>49</v>
      </c>
      <c r="AP8" s="12">
        <f t="shared" si="10"/>
        <v>4.2553191489361701E-2</v>
      </c>
      <c r="AQ8" s="166">
        <f t="shared" si="11"/>
        <v>0.12580943570767805</v>
      </c>
    </row>
    <row r="9" spans="1:43" x14ac:dyDescent="0.25">
      <c r="A9" s="88">
        <v>7</v>
      </c>
      <c r="B9" s="86">
        <f>11+31+14+12</f>
        <v>68</v>
      </c>
      <c r="C9" s="5">
        <f>16+9+4+6</f>
        <v>35</v>
      </c>
      <c r="D9" s="5">
        <f t="shared" si="12"/>
        <v>103</v>
      </c>
      <c r="E9" s="27">
        <f t="shared" si="0"/>
        <v>0.51470588235294112</v>
      </c>
      <c r="F9" s="74">
        <f>22+44+9</f>
        <v>75</v>
      </c>
      <c r="G9" s="5">
        <f>2+12+7</f>
        <v>21</v>
      </c>
      <c r="H9" s="5">
        <f t="shared" si="13"/>
        <v>96</v>
      </c>
      <c r="I9" s="12">
        <f t="shared" si="1"/>
        <v>0.28000000000000003</v>
      </c>
      <c r="J9" s="167">
        <f t="shared" si="2"/>
        <v>0.54400000000000015</v>
      </c>
      <c r="L9" s="82">
        <v>9</v>
      </c>
      <c r="M9" s="86">
        <f>52+13+24</f>
        <v>89</v>
      </c>
      <c r="N9" s="5">
        <f>22+6+9</f>
        <v>37</v>
      </c>
      <c r="O9" s="5">
        <f t="shared" si="14"/>
        <v>126</v>
      </c>
      <c r="P9" s="27">
        <f t="shared" si="3"/>
        <v>0.4157303370786517</v>
      </c>
      <c r="Q9" s="74">
        <f>6+60</f>
        <v>66</v>
      </c>
      <c r="R9" s="5">
        <f>9+23</f>
        <v>32</v>
      </c>
      <c r="S9" s="5">
        <f t="shared" si="15"/>
        <v>98</v>
      </c>
      <c r="T9" s="12">
        <f t="shared" si="4"/>
        <v>0.48484848484848486</v>
      </c>
      <c r="U9" s="166">
        <f t="shared" si="5"/>
        <v>1.1662571662571661</v>
      </c>
      <c r="W9" s="82">
        <v>4</v>
      </c>
      <c r="X9" s="86">
        <f>2+28+31</f>
        <v>61</v>
      </c>
      <c r="Y9" s="5">
        <f>16+10</f>
        <v>26</v>
      </c>
      <c r="Z9" s="5">
        <f t="shared" si="16"/>
        <v>87</v>
      </c>
      <c r="AA9" s="27">
        <f t="shared" si="6"/>
        <v>0.42622950819672129</v>
      </c>
      <c r="AB9" s="74">
        <f>12+8+1</f>
        <v>21</v>
      </c>
      <c r="AC9" s="5">
        <f>5</f>
        <v>5</v>
      </c>
      <c r="AD9" s="5">
        <f t="shared" si="17"/>
        <v>26</v>
      </c>
      <c r="AE9" s="27">
        <f t="shared" si="7"/>
        <v>0.23809523809523808</v>
      </c>
      <c r="AF9" s="166">
        <f t="shared" si="8"/>
        <v>0.55860805860805862</v>
      </c>
      <c r="AH9" s="88">
        <v>9</v>
      </c>
      <c r="AI9" s="86">
        <f>40+19+15+25</f>
        <v>99</v>
      </c>
      <c r="AJ9" s="5">
        <f>3+1+1+6</f>
        <v>11</v>
      </c>
      <c r="AK9" s="5">
        <f t="shared" si="18"/>
        <v>110</v>
      </c>
      <c r="AL9" s="27">
        <f t="shared" si="9"/>
        <v>0.1111111111111111</v>
      </c>
      <c r="AM9" s="74">
        <f>13+53+12</f>
        <v>78</v>
      </c>
      <c r="AN9" s="5">
        <f>1</f>
        <v>1</v>
      </c>
      <c r="AO9" s="5">
        <f t="shared" si="19"/>
        <v>79</v>
      </c>
      <c r="AP9" s="12">
        <f t="shared" si="10"/>
        <v>1.282051282051282E-2</v>
      </c>
      <c r="AQ9" s="166">
        <f t="shared" si="11"/>
        <v>0.11538461538461539</v>
      </c>
    </row>
    <row r="10" spans="1:43" x14ac:dyDescent="0.25">
      <c r="A10" s="83">
        <v>3</v>
      </c>
      <c r="B10" s="86">
        <f>25+24+9+14</f>
        <v>72</v>
      </c>
      <c r="C10" s="5">
        <f>12+5+9+16</f>
        <v>42</v>
      </c>
      <c r="D10" s="5">
        <f t="shared" si="12"/>
        <v>114</v>
      </c>
      <c r="E10" s="27">
        <f t="shared" si="0"/>
        <v>0.58333333333333337</v>
      </c>
      <c r="F10" s="74">
        <f>13+43+10</f>
        <v>66</v>
      </c>
      <c r="G10" s="5">
        <f>1+11+7</f>
        <v>19</v>
      </c>
      <c r="H10" s="5">
        <f t="shared" si="13"/>
        <v>85</v>
      </c>
      <c r="I10" s="12">
        <f t="shared" si="1"/>
        <v>0.2878787878787879</v>
      </c>
      <c r="J10" s="166">
        <f t="shared" si="2"/>
        <v>0.4935064935064935</v>
      </c>
      <c r="L10" s="83">
        <v>3</v>
      </c>
      <c r="M10" s="86">
        <f>18+15+24</f>
        <v>57</v>
      </c>
      <c r="N10" s="5">
        <f>14+8+9</f>
        <v>31</v>
      </c>
      <c r="O10" s="5">
        <f t="shared" si="14"/>
        <v>88</v>
      </c>
      <c r="P10" s="27">
        <f t="shared" si="3"/>
        <v>0.54385964912280704</v>
      </c>
      <c r="Q10" s="74">
        <f>34</f>
        <v>34</v>
      </c>
      <c r="R10" s="5">
        <f>17+4</f>
        <v>21</v>
      </c>
      <c r="S10" s="5">
        <f t="shared" si="15"/>
        <v>55</v>
      </c>
      <c r="T10" s="12">
        <f t="shared" si="4"/>
        <v>0.61764705882352944</v>
      </c>
      <c r="U10" s="166">
        <f t="shared" si="5"/>
        <v>1.1356736242884251</v>
      </c>
      <c r="W10" s="82">
        <v>9</v>
      </c>
      <c r="X10" s="86">
        <f>32+31+25</f>
        <v>88</v>
      </c>
      <c r="Y10" s="5">
        <f>22+12+17</f>
        <v>51</v>
      </c>
      <c r="Z10" s="5">
        <f t="shared" si="16"/>
        <v>139</v>
      </c>
      <c r="AA10" s="27">
        <f t="shared" si="6"/>
        <v>0.57954545454545459</v>
      </c>
      <c r="AB10" s="74">
        <f>12+8</f>
        <v>20</v>
      </c>
      <c r="AC10" s="5">
        <f>5</f>
        <v>5</v>
      </c>
      <c r="AD10" s="5">
        <f t="shared" si="17"/>
        <v>25</v>
      </c>
      <c r="AE10" s="27">
        <f t="shared" si="7"/>
        <v>0.25</v>
      </c>
      <c r="AF10" s="167">
        <f t="shared" si="8"/>
        <v>0.43137254901960781</v>
      </c>
      <c r="AH10" s="88">
        <v>4</v>
      </c>
      <c r="AI10" s="86">
        <f>26+12+8+21</f>
        <v>67</v>
      </c>
      <c r="AJ10" s="5">
        <f>4+5+2+6</f>
        <v>17</v>
      </c>
      <c r="AK10" s="5">
        <f t="shared" si="18"/>
        <v>84</v>
      </c>
      <c r="AL10" s="27">
        <f t="shared" si="9"/>
        <v>0.2537313432835821</v>
      </c>
      <c r="AM10" s="74">
        <f>16+16+3</f>
        <v>35</v>
      </c>
      <c r="AN10" s="5">
        <f>1</f>
        <v>1</v>
      </c>
      <c r="AO10" s="5">
        <f t="shared" si="19"/>
        <v>36</v>
      </c>
      <c r="AP10" s="12">
        <f t="shared" si="10"/>
        <v>2.8571428571428571E-2</v>
      </c>
      <c r="AQ10" s="166">
        <f t="shared" si="11"/>
        <v>0.11260504201680671</v>
      </c>
    </row>
    <row r="11" spans="1:43" x14ac:dyDescent="0.25">
      <c r="A11" s="88">
        <v>1</v>
      </c>
      <c r="B11" s="86">
        <f>19+31+53</f>
        <v>103</v>
      </c>
      <c r="C11" s="5">
        <f>2+24+24</f>
        <v>50</v>
      </c>
      <c r="D11" s="5">
        <f t="shared" si="12"/>
        <v>153</v>
      </c>
      <c r="E11" s="27">
        <f t="shared" si="0"/>
        <v>0.4854368932038835</v>
      </c>
      <c r="F11" s="74">
        <f>30</f>
        <v>30</v>
      </c>
      <c r="G11" s="5">
        <f>7</f>
        <v>7</v>
      </c>
      <c r="H11" s="5">
        <f t="shared" si="13"/>
        <v>37</v>
      </c>
      <c r="I11" s="12">
        <f t="shared" si="1"/>
        <v>0.23333333333333334</v>
      </c>
      <c r="J11" s="166">
        <f t="shared" si="2"/>
        <v>0.48066666666666669</v>
      </c>
      <c r="L11" s="82">
        <v>7</v>
      </c>
      <c r="M11" s="86">
        <f>30+39+19</f>
        <v>88</v>
      </c>
      <c r="N11" s="5">
        <f>27+16+10</f>
        <v>53</v>
      </c>
      <c r="O11" s="5">
        <f t="shared" si="14"/>
        <v>141</v>
      </c>
      <c r="P11" s="27">
        <f t="shared" si="3"/>
        <v>0.60227272727272729</v>
      </c>
      <c r="Q11" s="74">
        <f>43+28</f>
        <v>71</v>
      </c>
      <c r="R11" s="5">
        <f>25+21</f>
        <v>46</v>
      </c>
      <c r="S11" s="5">
        <f t="shared" si="15"/>
        <v>117</v>
      </c>
      <c r="T11" s="12">
        <f t="shared" si="4"/>
        <v>0.647887323943662</v>
      </c>
      <c r="U11" s="166">
        <f t="shared" si="5"/>
        <v>1.0757374435290992</v>
      </c>
      <c r="W11" s="82">
        <v>6</v>
      </c>
      <c r="X11" s="86">
        <f>25+20+49</f>
        <v>94</v>
      </c>
      <c r="Y11" s="5">
        <f>12+26+13</f>
        <v>51</v>
      </c>
      <c r="Z11" s="5">
        <f t="shared" si="16"/>
        <v>145</v>
      </c>
      <c r="AA11" s="27">
        <f t="shared" si="6"/>
        <v>0.54255319148936165</v>
      </c>
      <c r="AB11" s="74">
        <f>22+8</f>
        <v>30</v>
      </c>
      <c r="AC11" s="5">
        <f>7</f>
        <v>7</v>
      </c>
      <c r="AD11" s="5">
        <f t="shared" si="17"/>
        <v>37</v>
      </c>
      <c r="AE11" s="27">
        <f t="shared" si="7"/>
        <v>0.23333333333333334</v>
      </c>
      <c r="AF11" s="166">
        <f t="shared" si="8"/>
        <v>0.43006535947712421</v>
      </c>
      <c r="AH11" s="82">
        <v>10</v>
      </c>
      <c r="AI11" s="86">
        <f>3+13+6+8</f>
        <v>30</v>
      </c>
      <c r="AJ11" s="5">
        <f>2+3+6+2</f>
        <v>13</v>
      </c>
      <c r="AK11" s="5">
        <f t="shared" si="18"/>
        <v>43</v>
      </c>
      <c r="AL11" s="27">
        <f t="shared" si="9"/>
        <v>0.43333333333333335</v>
      </c>
      <c r="AM11" s="74">
        <f>10+11</f>
        <v>21</v>
      </c>
      <c r="AN11" s="5">
        <f>1</f>
        <v>1</v>
      </c>
      <c r="AO11" s="5">
        <f t="shared" si="19"/>
        <v>22</v>
      </c>
      <c r="AP11" s="12">
        <f t="shared" si="10"/>
        <v>4.7619047619047616E-2</v>
      </c>
      <c r="AQ11" s="166">
        <f t="shared" si="11"/>
        <v>0.10989010989010987</v>
      </c>
    </row>
    <row r="12" spans="1:43" x14ac:dyDescent="0.25">
      <c r="A12" s="88">
        <v>6</v>
      </c>
      <c r="B12" s="86">
        <f>18+19+11+7</f>
        <v>55</v>
      </c>
      <c r="C12" s="5">
        <f>11+2+9+19</f>
        <v>41</v>
      </c>
      <c r="D12" s="5">
        <f t="shared" si="12"/>
        <v>96</v>
      </c>
      <c r="E12" s="27">
        <f t="shared" si="0"/>
        <v>0.74545454545454548</v>
      </c>
      <c r="F12" s="74">
        <f>23+38+9</f>
        <v>70</v>
      </c>
      <c r="G12" s="5">
        <f>19+6</f>
        <v>25</v>
      </c>
      <c r="H12" s="5">
        <f t="shared" si="13"/>
        <v>95</v>
      </c>
      <c r="I12" s="12">
        <f t="shared" si="1"/>
        <v>0.35714285714285715</v>
      </c>
      <c r="J12" s="166">
        <f t="shared" si="2"/>
        <v>0.47909407665505227</v>
      </c>
      <c r="L12" s="82">
        <v>6</v>
      </c>
      <c r="M12" s="86">
        <f>37+17+46</f>
        <v>100</v>
      </c>
      <c r="N12" s="5">
        <f>27+7+12</f>
        <v>46</v>
      </c>
      <c r="O12" s="5">
        <f t="shared" si="14"/>
        <v>146</v>
      </c>
      <c r="P12" s="27">
        <f t="shared" si="3"/>
        <v>0.46</v>
      </c>
      <c r="Q12" s="74">
        <f>27+62+20</f>
        <v>109</v>
      </c>
      <c r="R12" s="5">
        <f>25+19+8</f>
        <v>52</v>
      </c>
      <c r="S12" s="5">
        <f t="shared" si="15"/>
        <v>161</v>
      </c>
      <c r="T12" s="12">
        <f t="shared" si="4"/>
        <v>0.47706422018348627</v>
      </c>
      <c r="U12" s="167">
        <f t="shared" si="5"/>
        <v>1.0370961308336657</v>
      </c>
      <c r="W12" s="88">
        <v>6</v>
      </c>
      <c r="X12" s="86">
        <f>4+8+29+19</f>
        <v>60</v>
      </c>
      <c r="Y12" s="5">
        <f>10+9+9</f>
        <v>28</v>
      </c>
      <c r="Z12" s="5">
        <f t="shared" si="16"/>
        <v>88</v>
      </c>
      <c r="AA12" s="27">
        <f t="shared" si="6"/>
        <v>0.46666666666666667</v>
      </c>
      <c r="AB12" s="74">
        <f>54+2</f>
        <v>56</v>
      </c>
      <c r="AC12" s="5">
        <f>11</f>
        <v>11</v>
      </c>
      <c r="AD12" s="5">
        <f t="shared" si="17"/>
        <v>67</v>
      </c>
      <c r="AE12" s="27">
        <f t="shared" si="7"/>
        <v>0.19642857142857142</v>
      </c>
      <c r="AF12" s="166">
        <f t="shared" si="8"/>
        <v>0.42091836734693877</v>
      </c>
      <c r="AH12" s="82">
        <v>9</v>
      </c>
      <c r="AI12" s="86">
        <f>4+8+24+14+11</f>
        <v>61</v>
      </c>
      <c r="AJ12" s="5">
        <f>1+8+9+3</f>
        <v>21</v>
      </c>
      <c r="AK12" s="5">
        <f t="shared" si="18"/>
        <v>82</v>
      </c>
      <c r="AL12" s="27">
        <f t="shared" si="9"/>
        <v>0.34426229508196721</v>
      </c>
      <c r="AM12" s="74">
        <f>26+13</f>
        <v>39</v>
      </c>
      <c r="AN12" s="5">
        <f>1</f>
        <v>1</v>
      </c>
      <c r="AO12" s="5">
        <f t="shared" si="19"/>
        <v>40</v>
      </c>
      <c r="AP12" s="12">
        <f t="shared" si="10"/>
        <v>2.564102564102564E-2</v>
      </c>
      <c r="AQ12" s="166">
        <f t="shared" si="11"/>
        <v>7.448107448107448E-2</v>
      </c>
    </row>
    <row r="13" spans="1:43" x14ac:dyDescent="0.25">
      <c r="A13" s="88">
        <v>1</v>
      </c>
      <c r="B13" s="86">
        <f>39+10+28</f>
        <v>77</v>
      </c>
      <c r="C13" s="5">
        <f>13+9+20</f>
        <v>42</v>
      </c>
      <c r="D13" s="5">
        <f t="shared" si="12"/>
        <v>119</v>
      </c>
      <c r="E13" s="27">
        <f t="shared" si="0"/>
        <v>0.54545454545454541</v>
      </c>
      <c r="F13" s="74">
        <f>60</f>
        <v>60</v>
      </c>
      <c r="G13" s="5">
        <f>14</f>
        <v>14</v>
      </c>
      <c r="H13" s="5">
        <f t="shared" si="13"/>
        <v>74</v>
      </c>
      <c r="I13" s="12">
        <f t="shared" si="1"/>
        <v>0.23333333333333334</v>
      </c>
      <c r="J13" s="166">
        <f t="shared" si="2"/>
        <v>0.42777777777777781</v>
      </c>
      <c r="L13" s="82">
        <v>8</v>
      </c>
      <c r="M13" s="86">
        <f>15+17+37+29</f>
        <v>98</v>
      </c>
      <c r="N13" s="5">
        <f>17+15+15+3</f>
        <v>50</v>
      </c>
      <c r="O13" s="5">
        <f t="shared" si="14"/>
        <v>148</v>
      </c>
      <c r="P13" s="27">
        <f t="shared" si="3"/>
        <v>0.51020408163265307</v>
      </c>
      <c r="Q13" s="74">
        <f>22+65+2</f>
        <v>89</v>
      </c>
      <c r="R13" s="5">
        <f>15+30+1</f>
        <v>46</v>
      </c>
      <c r="S13" s="5">
        <f t="shared" si="15"/>
        <v>135</v>
      </c>
      <c r="T13" s="12">
        <f t="shared" si="4"/>
        <v>0.5168539325842697</v>
      </c>
      <c r="U13" s="166">
        <f t="shared" si="5"/>
        <v>1.0130337078651686</v>
      </c>
      <c r="W13" s="82">
        <v>2</v>
      </c>
      <c r="X13" s="86">
        <f>46+19+38</f>
        <v>103</v>
      </c>
      <c r="Y13" s="5">
        <f>17+7+17</f>
        <v>41</v>
      </c>
      <c r="Z13" s="5">
        <f t="shared" si="16"/>
        <v>144</v>
      </c>
      <c r="AA13" s="27">
        <f t="shared" si="6"/>
        <v>0.39805825242718446</v>
      </c>
      <c r="AB13" s="74">
        <f>14+5</f>
        <v>19</v>
      </c>
      <c r="AC13" s="5">
        <f>3</f>
        <v>3</v>
      </c>
      <c r="AD13" s="5">
        <f t="shared" si="17"/>
        <v>22</v>
      </c>
      <c r="AE13" s="27">
        <f t="shared" si="7"/>
        <v>0.15789473684210525</v>
      </c>
      <c r="AF13" s="166">
        <f t="shared" si="8"/>
        <v>0.39666238767650835</v>
      </c>
      <c r="AH13" s="82">
        <v>2</v>
      </c>
      <c r="AI13" s="86">
        <f>16+7+25+22+19</f>
        <v>89</v>
      </c>
      <c r="AJ13" s="5">
        <f>8+7+11+9</f>
        <v>35</v>
      </c>
      <c r="AK13" s="5">
        <f t="shared" si="18"/>
        <v>124</v>
      </c>
      <c r="AL13" s="27">
        <f t="shared" si="9"/>
        <v>0.39325842696629215</v>
      </c>
      <c r="AM13" s="74">
        <f>23+57+5</f>
        <v>85</v>
      </c>
      <c r="AN13" s="5">
        <f>1</f>
        <v>1</v>
      </c>
      <c r="AO13" s="5">
        <f t="shared" si="19"/>
        <v>86</v>
      </c>
      <c r="AP13" s="12">
        <f t="shared" si="10"/>
        <v>1.1764705882352941E-2</v>
      </c>
      <c r="AQ13" s="166">
        <f t="shared" si="11"/>
        <v>2.991596638655462E-2</v>
      </c>
    </row>
    <row r="14" spans="1:43" x14ac:dyDescent="0.25">
      <c r="A14" s="88">
        <v>9</v>
      </c>
      <c r="B14" s="86">
        <f>33+23+10+7</f>
        <v>73</v>
      </c>
      <c r="C14" s="5">
        <f>10+7+3+11</f>
        <v>31</v>
      </c>
      <c r="D14" s="5">
        <f t="shared" si="12"/>
        <v>104</v>
      </c>
      <c r="E14" s="27">
        <f t="shared" si="0"/>
        <v>0.42465753424657532</v>
      </c>
      <c r="F14" s="74">
        <f>24+36+7</f>
        <v>67</v>
      </c>
      <c r="G14" s="5">
        <f>1+6+3</f>
        <v>10</v>
      </c>
      <c r="H14" s="5">
        <f t="shared" si="13"/>
        <v>77</v>
      </c>
      <c r="I14" s="12">
        <f t="shared" si="1"/>
        <v>0.14925373134328357</v>
      </c>
      <c r="J14" s="167">
        <f t="shared" si="2"/>
        <v>0.35146846413095811</v>
      </c>
      <c r="L14" s="82">
        <v>6</v>
      </c>
      <c r="M14" s="86">
        <f>31+17+33+37</f>
        <v>118</v>
      </c>
      <c r="N14" s="5">
        <f>15+11+21+18</f>
        <v>65</v>
      </c>
      <c r="O14" s="5">
        <f t="shared" si="14"/>
        <v>183</v>
      </c>
      <c r="P14" s="27">
        <f t="shared" si="3"/>
        <v>0.55084745762711862</v>
      </c>
      <c r="Q14" s="74">
        <f>20+57+2</f>
        <v>79</v>
      </c>
      <c r="R14" s="5">
        <f>22+21</f>
        <v>43</v>
      </c>
      <c r="S14" s="5">
        <f t="shared" si="15"/>
        <v>122</v>
      </c>
      <c r="T14" s="12">
        <f t="shared" si="4"/>
        <v>0.54430379746835444</v>
      </c>
      <c r="U14" s="166">
        <f t="shared" si="5"/>
        <v>0.98812074001947425</v>
      </c>
      <c r="W14" s="82">
        <v>2</v>
      </c>
      <c r="X14" s="86">
        <f>30+38+35</f>
        <v>103</v>
      </c>
      <c r="Y14" s="5">
        <f>17+17+20</f>
        <v>54</v>
      </c>
      <c r="Z14" s="5">
        <f t="shared" si="16"/>
        <v>157</v>
      </c>
      <c r="AA14" s="27">
        <f t="shared" si="6"/>
        <v>0.52427184466019416</v>
      </c>
      <c r="AB14" s="74">
        <f>14+23</f>
        <v>37</v>
      </c>
      <c r="AC14" s="5">
        <f>7</f>
        <v>7</v>
      </c>
      <c r="AD14" s="5">
        <f t="shared" si="17"/>
        <v>44</v>
      </c>
      <c r="AE14" s="27">
        <f t="shared" si="7"/>
        <v>0.1891891891891892</v>
      </c>
      <c r="AF14" s="166">
        <f t="shared" si="8"/>
        <v>0.36086086086086089</v>
      </c>
      <c r="AH14" s="83">
        <v>3</v>
      </c>
      <c r="AI14" s="86">
        <f>3+16+14+9</f>
        <v>42</v>
      </c>
      <c r="AJ14" s="5">
        <f>2+8+7+22</f>
        <v>39</v>
      </c>
      <c r="AK14" s="5">
        <f t="shared" si="18"/>
        <v>81</v>
      </c>
      <c r="AL14" s="27">
        <f t="shared" si="9"/>
        <v>0.9285714285714286</v>
      </c>
      <c r="AM14" s="74">
        <f>12+32+1</f>
        <v>45</v>
      </c>
      <c r="AN14" s="5">
        <v>1</v>
      </c>
      <c r="AO14" s="5">
        <f t="shared" si="19"/>
        <v>46</v>
      </c>
      <c r="AP14" s="12">
        <f t="shared" si="10"/>
        <v>2.2222222222222223E-2</v>
      </c>
      <c r="AQ14" s="166">
        <f t="shared" si="11"/>
        <v>2.3931623931623933E-2</v>
      </c>
    </row>
    <row r="15" spans="1:43" x14ac:dyDescent="0.25">
      <c r="A15" s="88">
        <v>7</v>
      </c>
      <c r="B15" s="86">
        <f>27+27+27</f>
        <v>81</v>
      </c>
      <c r="C15" s="5">
        <f>10+14+11</f>
        <v>35</v>
      </c>
      <c r="D15" s="5">
        <f t="shared" si="12"/>
        <v>116</v>
      </c>
      <c r="E15" s="27">
        <f t="shared" si="0"/>
        <v>0.43209876543209874</v>
      </c>
      <c r="F15" s="74">
        <f>49</f>
        <v>49</v>
      </c>
      <c r="G15" s="5">
        <f>7</f>
        <v>7</v>
      </c>
      <c r="H15" s="5">
        <f t="shared" si="13"/>
        <v>56</v>
      </c>
      <c r="I15" s="12">
        <f t="shared" si="1"/>
        <v>0.14285714285714285</v>
      </c>
      <c r="J15" s="166">
        <f t="shared" si="2"/>
        <v>0.33061224489795921</v>
      </c>
      <c r="L15" s="82">
        <v>5</v>
      </c>
      <c r="M15" s="86">
        <f>22+24+40+12+18</f>
        <v>116</v>
      </c>
      <c r="N15" s="5">
        <f>13+19+12+4+16</f>
        <v>64</v>
      </c>
      <c r="O15" s="5">
        <f t="shared" si="14"/>
        <v>180</v>
      </c>
      <c r="P15" s="27">
        <f t="shared" si="3"/>
        <v>0.55172413793103448</v>
      </c>
      <c r="Q15" s="74">
        <f>19+34+47</f>
        <v>100</v>
      </c>
      <c r="R15" s="5">
        <f>20+12+21</f>
        <v>53</v>
      </c>
      <c r="S15" s="5">
        <f t="shared" si="15"/>
        <v>153</v>
      </c>
      <c r="T15" s="12">
        <f t="shared" si="4"/>
        <v>0.53</v>
      </c>
      <c r="U15" s="166">
        <f t="shared" si="5"/>
        <v>0.96062500000000006</v>
      </c>
      <c r="W15" s="82">
        <v>4</v>
      </c>
      <c r="X15" s="86">
        <f>22+39+47</f>
        <v>108</v>
      </c>
      <c r="Y15" s="5">
        <f>11+16+16</f>
        <v>43</v>
      </c>
      <c r="Z15" s="5">
        <f t="shared" si="16"/>
        <v>151</v>
      </c>
      <c r="AA15" s="27">
        <f t="shared" si="6"/>
        <v>0.39814814814814814</v>
      </c>
      <c r="AB15" s="74">
        <f>23+27</f>
        <v>50</v>
      </c>
      <c r="AC15" s="5">
        <f>7</f>
        <v>7</v>
      </c>
      <c r="AD15" s="5">
        <f t="shared" si="17"/>
        <v>57</v>
      </c>
      <c r="AE15" s="27">
        <f t="shared" si="7"/>
        <v>0.14000000000000001</v>
      </c>
      <c r="AF15" s="166">
        <f t="shared" si="8"/>
        <v>0.35162790697674423</v>
      </c>
      <c r="AH15" s="88">
        <v>2</v>
      </c>
      <c r="AI15" s="86">
        <f>37+16+9+22</f>
        <v>84</v>
      </c>
      <c r="AJ15" s="5">
        <f>2+7+1+5</f>
        <v>15</v>
      </c>
      <c r="AK15" s="5">
        <f t="shared" si="18"/>
        <v>99</v>
      </c>
      <c r="AL15" s="27">
        <f t="shared" si="9"/>
        <v>0.17857142857142858</v>
      </c>
      <c r="AM15" s="74">
        <f>3+6+29+28</f>
        <v>66</v>
      </c>
      <c r="AN15" s="5">
        <f>0</f>
        <v>0</v>
      </c>
      <c r="AO15" s="5">
        <f t="shared" si="19"/>
        <v>66</v>
      </c>
      <c r="AP15" s="12">
        <f t="shared" si="10"/>
        <v>0</v>
      </c>
      <c r="AQ15" s="166">
        <f t="shared" si="11"/>
        <v>0</v>
      </c>
    </row>
    <row r="16" spans="1:43" x14ac:dyDescent="0.25">
      <c r="A16" s="88">
        <v>1</v>
      </c>
      <c r="B16" s="86">
        <f>20+29+21+21</f>
        <v>91</v>
      </c>
      <c r="C16" s="5">
        <f>3+15+11+13</f>
        <v>42</v>
      </c>
      <c r="D16" s="5">
        <f t="shared" si="12"/>
        <v>133</v>
      </c>
      <c r="E16" s="27">
        <f t="shared" si="0"/>
        <v>0.46153846153846156</v>
      </c>
      <c r="F16" s="74">
        <f>18+20+17</f>
        <v>55</v>
      </c>
      <c r="G16" s="5">
        <f>2+5+1</f>
        <v>8</v>
      </c>
      <c r="H16" s="5">
        <f t="shared" si="13"/>
        <v>63</v>
      </c>
      <c r="I16" s="12">
        <f t="shared" si="1"/>
        <v>0.14545454545454545</v>
      </c>
      <c r="J16" s="166">
        <f t="shared" si="2"/>
        <v>0.31515151515151513</v>
      </c>
      <c r="L16" s="82">
        <v>10</v>
      </c>
      <c r="M16" s="86">
        <f>31+12+41</f>
        <v>84</v>
      </c>
      <c r="N16" s="5">
        <f>24+5+17</f>
        <v>46</v>
      </c>
      <c r="O16" s="5">
        <f t="shared" si="14"/>
        <v>130</v>
      </c>
      <c r="P16" s="27">
        <f t="shared" si="3"/>
        <v>0.54761904761904767</v>
      </c>
      <c r="Q16" s="74">
        <f>11+58+13</f>
        <v>82</v>
      </c>
      <c r="R16" s="5">
        <f>10+21+8</f>
        <v>39</v>
      </c>
      <c r="S16" s="5">
        <f t="shared" si="15"/>
        <v>121</v>
      </c>
      <c r="T16" s="12">
        <f t="shared" si="4"/>
        <v>0.47560975609756095</v>
      </c>
      <c r="U16" s="166">
        <f t="shared" si="5"/>
        <v>0.8685047720042417</v>
      </c>
      <c r="W16" s="88">
        <v>2</v>
      </c>
      <c r="X16" s="86">
        <f>6+21+19+27</f>
        <v>73</v>
      </c>
      <c r="Y16" s="5">
        <f>15+13+12</f>
        <v>40</v>
      </c>
      <c r="Z16" s="5">
        <f t="shared" si="16"/>
        <v>113</v>
      </c>
      <c r="AA16" s="27">
        <f t="shared" si="6"/>
        <v>0.54794520547945202</v>
      </c>
      <c r="AB16" s="74">
        <f>64+2</f>
        <v>66</v>
      </c>
      <c r="AC16" s="5">
        <f>12</f>
        <v>12</v>
      </c>
      <c r="AD16" s="5">
        <f t="shared" si="17"/>
        <v>78</v>
      </c>
      <c r="AE16" s="27">
        <f t="shared" si="7"/>
        <v>0.18181818181818182</v>
      </c>
      <c r="AF16" s="166">
        <f t="shared" si="8"/>
        <v>0.33181818181818185</v>
      </c>
      <c r="AH16" s="88">
        <v>7</v>
      </c>
      <c r="AI16" s="86">
        <f>31+8+10+12</f>
        <v>61</v>
      </c>
      <c r="AJ16" s="5">
        <f>4+4+1+13</f>
        <v>22</v>
      </c>
      <c r="AK16" s="5">
        <f t="shared" si="18"/>
        <v>83</v>
      </c>
      <c r="AL16" s="27">
        <f t="shared" si="9"/>
        <v>0.36065573770491804</v>
      </c>
      <c r="AM16" s="74">
        <f>27+35+6</f>
        <v>68</v>
      </c>
      <c r="AN16" s="5">
        <f>0</f>
        <v>0</v>
      </c>
      <c r="AO16" s="5">
        <f t="shared" si="19"/>
        <v>68</v>
      </c>
      <c r="AP16" s="12">
        <f t="shared" si="10"/>
        <v>0</v>
      </c>
      <c r="AQ16" s="166">
        <f t="shared" si="11"/>
        <v>0</v>
      </c>
    </row>
    <row r="17" spans="1:43" x14ac:dyDescent="0.25">
      <c r="A17" s="88">
        <v>6</v>
      </c>
      <c r="B17" s="86">
        <f>28+27+57</f>
        <v>112</v>
      </c>
      <c r="C17" s="5">
        <f>6+13+33</f>
        <v>52</v>
      </c>
      <c r="D17" s="5">
        <f t="shared" si="12"/>
        <v>164</v>
      </c>
      <c r="E17" s="27">
        <f t="shared" si="0"/>
        <v>0.4642857142857143</v>
      </c>
      <c r="F17" s="74">
        <f>17+11</f>
        <v>28</v>
      </c>
      <c r="G17" s="5">
        <f>3</f>
        <v>3</v>
      </c>
      <c r="H17" s="5">
        <f t="shared" si="13"/>
        <v>31</v>
      </c>
      <c r="I17" s="12">
        <f t="shared" si="1"/>
        <v>0.10714285714285714</v>
      </c>
      <c r="J17" s="166">
        <f t="shared" si="2"/>
        <v>0.23076923076923075</v>
      </c>
      <c r="L17" s="82">
        <v>8</v>
      </c>
      <c r="M17" s="86">
        <f>11+22+16</f>
        <v>49</v>
      </c>
      <c r="N17" s="5">
        <f>11+20+17</f>
        <v>48</v>
      </c>
      <c r="O17" s="5">
        <f t="shared" si="14"/>
        <v>97</v>
      </c>
      <c r="P17" s="27">
        <f t="shared" si="3"/>
        <v>0.97959183673469385</v>
      </c>
      <c r="Q17" s="74">
        <f>28+18</f>
        <v>46</v>
      </c>
      <c r="R17" s="5">
        <f>20+17</f>
        <v>37</v>
      </c>
      <c r="S17" s="5">
        <f t="shared" si="15"/>
        <v>83</v>
      </c>
      <c r="T17" s="12">
        <f t="shared" si="4"/>
        <v>0.80434782608695654</v>
      </c>
      <c r="U17" s="166">
        <f t="shared" si="5"/>
        <v>0.82110507246376818</v>
      </c>
      <c r="W17" s="82">
        <v>10</v>
      </c>
      <c r="X17" s="86">
        <f>42+24+54</f>
        <v>120</v>
      </c>
      <c r="Y17" s="5">
        <f>13+14+15</f>
        <v>42</v>
      </c>
      <c r="Z17" s="5">
        <f t="shared" si="16"/>
        <v>162</v>
      </c>
      <c r="AA17" s="27">
        <f t="shared" si="6"/>
        <v>0.35</v>
      </c>
      <c r="AB17" s="74">
        <f>30+10</f>
        <v>40</v>
      </c>
      <c r="AC17" s="5">
        <f>4</f>
        <v>4</v>
      </c>
      <c r="AD17" s="5">
        <f t="shared" si="17"/>
        <v>44</v>
      </c>
      <c r="AE17" s="27">
        <f t="shared" si="7"/>
        <v>0.1</v>
      </c>
      <c r="AF17" s="167">
        <f t="shared" si="8"/>
        <v>0.28571428571428575</v>
      </c>
      <c r="AH17" s="82">
        <v>1</v>
      </c>
      <c r="AI17" s="86">
        <f>29+9+33+16+15</f>
        <v>102</v>
      </c>
      <c r="AJ17" s="5">
        <f>7+6+3+13</f>
        <v>29</v>
      </c>
      <c r="AK17" s="5">
        <f t="shared" si="18"/>
        <v>131</v>
      </c>
      <c r="AL17" s="27">
        <f t="shared" si="9"/>
        <v>0.28431372549019607</v>
      </c>
      <c r="AM17" s="74">
        <f>19+44+11</f>
        <v>74</v>
      </c>
      <c r="AN17" s="5">
        <f>0</f>
        <v>0</v>
      </c>
      <c r="AO17" s="5">
        <f t="shared" si="19"/>
        <v>74</v>
      </c>
      <c r="AP17" s="12">
        <f t="shared" si="10"/>
        <v>0</v>
      </c>
      <c r="AQ17" s="166">
        <f t="shared" si="11"/>
        <v>0</v>
      </c>
    </row>
    <row r="18" spans="1:43" x14ac:dyDescent="0.25">
      <c r="A18" s="88">
        <v>5</v>
      </c>
      <c r="B18" s="86">
        <f>19+37+30</f>
        <v>86</v>
      </c>
      <c r="C18" s="5">
        <f>4+22+15</f>
        <v>41</v>
      </c>
      <c r="D18" s="5">
        <f t="shared" si="12"/>
        <v>127</v>
      </c>
      <c r="E18" s="27">
        <f t="shared" si="0"/>
        <v>0.47674418604651164</v>
      </c>
      <c r="F18" s="74">
        <f>46</f>
        <v>46</v>
      </c>
      <c r="G18" s="5">
        <f>5</f>
        <v>5</v>
      </c>
      <c r="H18" s="5">
        <f t="shared" si="13"/>
        <v>51</v>
      </c>
      <c r="I18" s="12">
        <f t="shared" si="1"/>
        <v>0.10869565217391304</v>
      </c>
      <c r="J18" s="166">
        <f t="shared" si="2"/>
        <v>0.22799575821845175</v>
      </c>
      <c r="L18" s="82">
        <v>9</v>
      </c>
      <c r="M18" s="86">
        <f>12+25+27+26</f>
        <v>90</v>
      </c>
      <c r="N18" s="5">
        <f>16+11+15+4</f>
        <v>46</v>
      </c>
      <c r="O18" s="5">
        <f t="shared" si="14"/>
        <v>136</v>
      </c>
      <c r="P18" s="27">
        <f t="shared" si="3"/>
        <v>0.51111111111111107</v>
      </c>
      <c r="Q18" s="74">
        <f>16+22+3</f>
        <v>41</v>
      </c>
      <c r="R18" s="5">
        <f>12+5</f>
        <v>17</v>
      </c>
      <c r="S18" s="5">
        <f t="shared" si="15"/>
        <v>58</v>
      </c>
      <c r="T18" s="12">
        <f t="shared" si="4"/>
        <v>0.41463414634146339</v>
      </c>
      <c r="U18" s="166">
        <f t="shared" si="5"/>
        <v>0.81124072110286327</v>
      </c>
      <c r="W18" s="83">
        <v>3</v>
      </c>
      <c r="X18" s="86">
        <f>38+21+56</f>
        <v>115</v>
      </c>
      <c r="Y18" s="5">
        <f>18+10+15</f>
        <v>43</v>
      </c>
      <c r="Z18" s="5">
        <f t="shared" si="16"/>
        <v>158</v>
      </c>
      <c r="AA18" s="27">
        <f t="shared" si="6"/>
        <v>0.37391304347826088</v>
      </c>
      <c r="AB18" s="74">
        <f>28+69+1</f>
        <v>98</v>
      </c>
      <c r="AC18" s="5">
        <f>8</f>
        <v>8</v>
      </c>
      <c r="AD18" s="5">
        <f t="shared" si="17"/>
        <v>106</v>
      </c>
      <c r="AE18" s="27">
        <f t="shared" si="7"/>
        <v>8.1632653061224483E-2</v>
      </c>
      <c r="AF18" s="166">
        <f t="shared" si="8"/>
        <v>0.21831988609397246</v>
      </c>
      <c r="AH18" s="83">
        <v>3</v>
      </c>
      <c r="AI18" s="86">
        <f>33+8+29+8+14</f>
        <v>92</v>
      </c>
      <c r="AJ18" s="5">
        <f>1+3+2+3+6</f>
        <v>15</v>
      </c>
      <c r="AK18" s="5">
        <f t="shared" si="18"/>
        <v>107</v>
      </c>
      <c r="AL18" s="27">
        <f t="shared" si="9"/>
        <v>0.16304347826086957</v>
      </c>
      <c r="AM18" s="74">
        <f>32+32</f>
        <v>64</v>
      </c>
      <c r="AN18" s="5">
        <f>0</f>
        <v>0</v>
      </c>
      <c r="AO18" s="5">
        <f t="shared" si="19"/>
        <v>64</v>
      </c>
      <c r="AP18" s="12">
        <f t="shared" si="10"/>
        <v>0</v>
      </c>
      <c r="AQ18" s="166">
        <f t="shared" si="11"/>
        <v>0</v>
      </c>
    </row>
    <row r="19" spans="1:43" x14ac:dyDescent="0.25">
      <c r="A19" s="88">
        <v>5</v>
      </c>
      <c r="B19" s="86">
        <f>25+25+15+11</f>
        <v>76</v>
      </c>
      <c r="C19" s="5">
        <f>11+15+4+19</f>
        <v>49</v>
      </c>
      <c r="D19" s="5">
        <f t="shared" si="12"/>
        <v>125</v>
      </c>
      <c r="E19" s="27">
        <f t="shared" si="0"/>
        <v>0.64473684210526316</v>
      </c>
      <c r="F19" s="74">
        <f>19+23+9</f>
        <v>51</v>
      </c>
      <c r="G19" s="5">
        <f>3+2</f>
        <v>5</v>
      </c>
      <c r="H19" s="5">
        <f t="shared" si="13"/>
        <v>56</v>
      </c>
      <c r="I19" s="12">
        <f t="shared" si="1"/>
        <v>9.8039215686274508E-2</v>
      </c>
      <c r="J19" s="167">
        <f t="shared" si="2"/>
        <v>0.15206082432973189</v>
      </c>
      <c r="L19" s="82">
        <v>1</v>
      </c>
      <c r="M19" s="86">
        <f>24+14+33</f>
        <v>71</v>
      </c>
      <c r="N19" s="5">
        <f>15+4+11</f>
        <v>30</v>
      </c>
      <c r="O19" s="5">
        <f t="shared" si="14"/>
        <v>101</v>
      </c>
      <c r="P19" s="27">
        <f t="shared" si="3"/>
        <v>0.42253521126760563</v>
      </c>
      <c r="Q19" s="74">
        <f>22+75+8</f>
        <v>105</v>
      </c>
      <c r="R19" s="5">
        <f>10+22+3</f>
        <v>35</v>
      </c>
      <c r="S19" s="5">
        <f t="shared" si="15"/>
        <v>140</v>
      </c>
      <c r="T19" s="12">
        <f t="shared" si="4"/>
        <v>0.33333333333333331</v>
      </c>
      <c r="U19" s="167">
        <f t="shared" si="5"/>
        <v>0.78888888888888886</v>
      </c>
      <c r="W19" s="88">
        <v>7</v>
      </c>
      <c r="X19" s="86">
        <f>12+27+18+59</f>
        <v>116</v>
      </c>
      <c r="Y19" s="5">
        <f>15+9+22</f>
        <v>46</v>
      </c>
      <c r="Z19" s="5">
        <f t="shared" si="16"/>
        <v>162</v>
      </c>
      <c r="AA19" s="27">
        <f t="shared" si="6"/>
        <v>0.39655172413793105</v>
      </c>
      <c r="AB19" s="74">
        <f>79+4</f>
        <v>83</v>
      </c>
      <c r="AC19" s="5">
        <f>7</f>
        <v>7</v>
      </c>
      <c r="AD19" s="5">
        <f t="shared" si="17"/>
        <v>90</v>
      </c>
      <c r="AE19" s="27">
        <f t="shared" si="7"/>
        <v>8.4337349397590355E-2</v>
      </c>
      <c r="AF19" s="166">
        <f t="shared" si="8"/>
        <v>0.21267679413305393</v>
      </c>
      <c r="AH19" s="82">
        <v>4</v>
      </c>
      <c r="AI19" s="86">
        <f>36+9+32+17+12</f>
        <v>106</v>
      </c>
      <c r="AJ19" s="5">
        <f>1+6+3+12+9</f>
        <v>31</v>
      </c>
      <c r="AK19" s="5">
        <f t="shared" si="18"/>
        <v>137</v>
      </c>
      <c r="AL19" s="27">
        <f t="shared" si="9"/>
        <v>0.29245283018867924</v>
      </c>
      <c r="AM19" s="74">
        <f>19+46+7</f>
        <v>72</v>
      </c>
      <c r="AN19" s="5">
        <f>0</f>
        <v>0</v>
      </c>
      <c r="AO19" s="5">
        <f t="shared" si="19"/>
        <v>72</v>
      </c>
      <c r="AP19" s="12">
        <f t="shared" si="10"/>
        <v>0</v>
      </c>
      <c r="AQ19" s="166">
        <f t="shared" si="11"/>
        <v>0</v>
      </c>
    </row>
    <row r="20" spans="1:43" x14ac:dyDescent="0.25">
      <c r="A20" s="88">
        <v>4</v>
      </c>
      <c r="B20" s="86">
        <f>32+16+45</f>
        <v>93</v>
      </c>
      <c r="C20" s="5">
        <f>22+14+22</f>
        <v>58</v>
      </c>
      <c r="D20" s="5">
        <f t="shared" si="12"/>
        <v>151</v>
      </c>
      <c r="E20" s="27">
        <f t="shared" si="0"/>
        <v>0.62365591397849462</v>
      </c>
      <c r="F20" s="74">
        <f>33</f>
        <v>33</v>
      </c>
      <c r="G20" s="5">
        <f>3</f>
        <v>3</v>
      </c>
      <c r="H20" s="5">
        <f t="shared" si="13"/>
        <v>36</v>
      </c>
      <c r="I20" s="12">
        <f t="shared" si="1"/>
        <v>9.0909090909090912E-2</v>
      </c>
      <c r="J20" s="166">
        <f t="shared" si="2"/>
        <v>0.14576802507836992</v>
      </c>
      <c r="L20" s="82">
        <v>4</v>
      </c>
      <c r="M20" s="86">
        <f>27+30+18+6+21</f>
        <v>102</v>
      </c>
      <c r="N20" s="5">
        <f>15+8+12+15+17</f>
        <v>67</v>
      </c>
      <c r="O20" s="5">
        <f t="shared" si="14"/>
        <v>169</v>
      </c>
      <c r="P20" s="27">
        <f t="shared" si="3"/>
        <v>0.65686274509803921</v>
      </c>
      <c r="Q20" s="74">
        <f>23+40+12</f>
        <v>75</v>
      </c>
      <c r="R20" s="5">
        <f>17+19+2</f>
        <v>38</v>
      </c>
      <c r="S20" s="5">
        <f t="shared" si="15"/>
        <v>113</v>
      </c>
      <c r="T20" s="12">
        <f t="shared" si="4"/>
        <v>0.50666666666666671</v>
      </c>
      <c r="U20" s="166">
        <f t="shared" si="5"/>
        <v>0.77134328358208959</v>
      </c>
      <c r="W20" s="88">
        <v>1</v>
      </c>
      <c r="X20" s="86">
        <f>9+35+22+42</f>
        <v>108</v>
      </c>
      <c r="Y20" s="5">
        <f>1+19+8+29</f>
        <v>57</v>
      </c>
      <c r="Z20" s="5">
        <f t="shared" si="16"/>
        <v>165</v>
      </c>
      <c r="AA20" s="27">
        <f t="shared" si="6"/>
        <v>0.52777777777777779</v>
      </c>
      <c r="AB20" s="74">
        <f>91+21</f>
        <v>112</v>
      </c>
      <c r="AC20" s="5">
        <f>11+1</f>
        <v>12</v>
      </c>
      <c r="AD20" s="5">
        <f t="shared" si="17"/>
        <v>124</v>
      </c>
      <c r="AE20" s="27">
        <f t="shared" si="7"/>
        <v>0.10714285714285714</v>
      </c>
      <c r="AF20" s="166">
        <f t="shared" si="8"/>
        <v>0.20300751879699247</v>
      </c>
      <c r="AH20" s="82">
        <v>6</v>
      </c>
      <c r="AI20" s="86">
        <f>27+7+25+16+11</f>
        <v>86</v>
      </c>
      <c r="AJ20" s="5">
        <f>4+4+4+3</f>
        <v>15</v>
      </c>
      <c r="AK20" s="5">
        <f t="shared" si="18"/>
        <v>101</v>
      </c>
      <c r="AL20" s="27">
        <f t="shared" si="9"/>
        <v>0.1744186046511628</v>
      </c>
      <c r="AM20" s="74">
        <f>40+48+5</f>
        <v>93</v>
      </c>
      <c r="AN20" s="5">
        <f>0</f>
        <v>0</v>
      </c>
      <c r="AO20" s="5">
        <f t="shared" si="19"/>
        <v>93</v>
      </c>
      <c r="AP20" s="12">
        <f t="shared" si="10"/>
        <v>0</v>
      </c>
      <c r="AQ20" s="166">
        <f t="shared" si="11"/>
        <v>0</v>
      </c>
    </row>
    <row r="21" spans="1:43" x14ac:dyDescent="0.25">
      <c r="A21" s="88">
        <v>1</v>
      </c>
      <c r="B21" s="86">
        <f>10+53</f>
        <v>63</v>
      </c>
      <c r="C21" s="5">
        <f>2+54</f>
        <v>56</v>
      </c>
      <c r="D21" s="5">
        <f t="shared" si="12"/>
        <v>119</v>
      </c>
      <c r="E21" s="27">
        <f t="shared" si="0"/>
        <v>0.88888888888888884</v>
      </c>
      <c r="F21" s="74">
        <f>56</f>
        <v>56</v>
      </c>
      <c r="G21" s="5">
        <f>6</f>
        <v>6</v>
      </c>
      <c r="H21" s="5">
        <f t="shared" si="13"/>
        <v>62</v>
      </c>
      <c r="I21" s="12">
        <f t="shared" si="1"/>
        <v>0.10714285714285714</v>
      </c>
      <c r="J21" s="166">
        <f t="shared" si="2"/>
        <v>0.12053571428571429</v>
      </c>
      <c r="L21" s="82">
        <v>10</v>
      </c>
      <c r="M21" s="86">
        <f>22+20+17+29</f>
        <v>88</v>
      </c>
      <c r="N21" s="5">
        <f>21+14+14+9</f>
        <v>58</v>
      </c>
      <c r="O21" s="5">
        <f t="shared" si="14"/>
        <v>146</v>
      </c>
      <c r="P21" s="27">
        <f t="shared" si="3"/>
        <v>0.65909090909090906</v>
      </c>
      <c r="Q21" s="74">
        <f>22+84+6</f>
        <v>112</v>
      </c>
      <c r="R21" s="5">
        <f>14+36+6</f>
        <v>56</v>
      </c>
      <c r="S21" s="5">
        <f t="shared" si="15"/>
        <v>168</v>
      </c>
      <c r="T21" s="12">
        <f t="shared" si="4"/>
        <v>0.5</v>
      </c>
      <c r="U21" s="166">
        <f t="shared" si="5"/>
        <v>0.75862068965517249</v>
      </c>
      <c r="W21" s="82">
        <v>1</v>
      </c>
      <c r="X21" s="86">
        <f>41+24+19</f>
        <v>84</v>
      </c>
      <c r="Y21" s="5">
        <f>23+6+14</f>
        <v>43</v>
      </c>
      <c r="Z21" s="5">
        <f t="shared" si="16"/>
        <v>127</v>
      </c>
      <c r="AA21" s="27">
        <f t="shared" si="6"/>
        <v>0.51190476190476186</v>
      </c>
      <c r="AB21" s="74">
        <f>28+70+1</f>
        <v>99</v>
      </c>
      <c r="AC21" s="5">
        <f>8</f>
        <v>8</v>
      </c>
      <c r="AD21" s="5">
        <f t="shared" si="17"/>
        <v>107</v>
      </c>
      <c r="AE21" s="27">
        <f t="shared" si="7"/>
        <v>8.0808080808080815E-2</v>
      </c>
      <c r="AF21" s="166">
        <f t="shared" si="8"/>
        <v>0.15785764622973927</v>
      </c>
      <c r="AH21" s="82">
        <v>7</v>
      </c>
      <c r="AI21" s="86">
        <f>4+5+29+12+9</f>
        <v>59</v>
      </c>
      <c r="AJ21" s="5">
        <f>5+5+7+2</f>
        <v>19</v>
      </c>
      <c r="AK21" s="5">
        <f t="shared" si="18"/>
        <v>78</v>
      </c>
      <c r="AL21" s="27">
        <f t="shared" si="9"/>
        <v>0.32203389830508472</v>
      </c>
      <c r="AM21" s="74">
        <f>22+46+2</f>
        <v>70</v>
      </c>
      <c r="AN21" s="5">
        <f>0</f>
        <v>0</v>
      </c>
      <c r="AO21" s="5">
        <f t="shared" si="19"/>
        <v>70</v>
      </c>
      <c r="AP21" s="12">
        <f t="shared" si="10"/>
        <v>0</v>
      </c>
      <c r="AQ21" s="166">
        <f t="shared" si="11"/>
        <v>0</v>
      </c>
    </row>
    <row r="22" spans="1:43" x14ac:dyDescent="0.25">
      <c r="A22" s="88">
        <v>8</v>
      </c>
      <c r="B22" s="86">
        <f>46+12+31</f>
        <v>89</v>
      </c>
      <c r="C22" s="5">
        <f>16+12+24</f>
        <v>52</v>
      </c>
      <c r="D22" s="5">
        <f t="shared" si="12"/>
        <v>141</v>
      </c>
      <c r="E22" s="27">
        <f t="shared" si="0"/>
        <v>0.5842696629213483</v>
      </c>
      <c r="F22" s="74">
        <f>19+17</f>
        <v>36</v>
      </c>
      <c r="G22" s="5">
        <f>2</f>
        <v>2</v>
      </c>
      <c r="H22" s="5">
        <f t="shared" si="13"/>
        <v>38</v>
      </c>
      <c r="I22" s="12">
        <f t="shared" si="1"/>
        <v>5.5555555555555552E-2</v>
      </c>
      <c r="J22" s="166">
        <f t="shared" si="2"/>
        <v>9.5085470085470081E-2</v>
      </c>
      <c r="L22" s="82">
        <v>2</v>
      </c>
      <c r="M22" s="86">
        <f>30+19+26+14+26</f>
        <v>115</v>
      </c>
      <c r="N22" s="5">
        <f>19+15+13+15+19</f>
        <v>81</v>
      </c>
      <c r="O22" s="5">
        <f t="shared" si="14"/>
        <v>196</v>
      </c>
      <c r="P22" s="27">
        <f t="shared" si="3"/>
        <v>0.70434782608695656</v>
      </c>
      <c r="Q22" s="74">
        <f>31+55+20</f>
        <v>106</v>
      </c>
      <c r="R22" s="5">
        <f>23+25+8</f>
        <v>56</v>
      </c>
      <c r="S22" s="5">
        <f t="shared" si="15"/>
        <v>162</v>
      </c>
      <c r="T22" s="12">
        <f t="shared" si="4"/>
        <v>0.52830188679245282</v>
      </c>
      <c r="U22" s="166">
        <f t="shared" si="5"/>
        <v>0.75005823433496388</v>
      </c>
      <c r="W22" s="82">
        <v>6</v>
      </c>
      <c r="X22" s="86">
        <f>5+30+41</f>
        <v>76</v>
      </c>
      <c r="Y22" s="5">
        <f>7+38+15</f>
        <v>60</v>
      </c>
      <c r="Z22" s="5">
        <f t="shared" si="16"/>
        <v>136</v>
      </c>
      <c r="AA22" s="27">
        <f t="shared" si="6"/>
        <v>0.78947368421052633</v>
      </c>
      <c r="AB22" s="74">
        <f>12+45+18</f>
        <v>75</v>
      </c>
      <c r="AC22" s="5">
        <f>9</f>
        <v>9</v>
      </c>
      <c r="AD22" s="5">
        <f t="shared" si="17"/>
        <v>84</v>
      </c>
      <c r="AE22" s="27">
        <f t="shared" si="7"/>
        <v>0.12</v>
      </c>
      <c r="AF22" s="166">
        <f t="shared" si="8"/>
        <v>0.152</v>
      </c>
      <c r="AH22" s="82">
        <v>8</v>
      </c>
      <c r="AI22" s="86">
        <f>9+2+26+16+8</f>
        <v>61</v>
      </c>
      <c r="AJ22" s="5">
        <f>3+12+6+3</f>
        <v>24</v>
      </c>
      <c r="AK22" s="5">
        <f t="shared" si="18"/>
        <v>85</v>
      </c>
      <c r="AL22" s="27">
        <f t="shared" si="9"/>
        <v>0.39344262295081966</v>
      </c>
      <c r="AM22" s="74">
        <f>31+39</f>
        <v>70</v>
      </c>
      <c r="AN22" s="5">
        <f>0</f>
        <v>0</v>
      </c>
      <c r="AO22" s="5">
        <f t="shared" si="19"/>
        <v>70</v>
      </c>
      <c r="AP22" s="12">
        <f t="shared" si="10"/>
        <v>0</v>
      </c>
      <c r="AQ22" s="166">
        <f t="shared" si="11"/>
        <v>0</v>
      </c>
    </row>
    <row r="23" spans="1:43" ht="15.75" thickBot="1" x14ac:dyDescent="0.3">
      <c r="A23" s="91">
        <v>3</v>
      </c>
      <c r="B23" s="87">
        <f>32+17+34</f>
        <v>83</v>
      </c>
      <c r="C23" s="13">
        <f>15+10+22</f>
        <v>47</v>
      </c>
      <c r="D23" s="68">
        <f t="shared" si="12"/>
        <v>130</v>
      </c>
      <c r="E23" s="34">
        <f t="shared" si="0"/>
        <v>0.5662650602409639</v>
      </c>
      <c r="F23" s="75">
        <f>43+14</f>
        <v>57</v>
      </c>
      <c r="G23" s="13">
        <f>0</f>
        <v>0</v>
      </c>
      <c r="H23" s="13">
        <f t="shared" si="13"/>
        <v>57</v>
      </c>
      <c r="I23" s="15">
        <f t="shared" si="1"/>
        <v>0</v>
      </c>
      <c r="J23" s="168">
        <f t="shared" si="2"/>
        <v>0</v>
      </c>
      <c r="L23" s="82">
        <v>5</v>
      </c>
      <c r="M23" s="86">
        <f>32+40+21</f>
        <v>93</v>
      </c>
      <c r="N23" s="5">
        <f>27+18+18</f>
        <v>63</v>
      </c>
      <c r="O23" s="68">
        <f t="shared" si="14"/>
        <v>156</v>
      </c>
      <c r="P23" s="27">
        <f t="shared" si="3"/>
        <v>0.67741935483870963</v>
      </c>
      <c r="Q23" s="74">
        <f>44+19</f>
        <v>63</v>
      </c>
      <c r="R23" s="5">
        <f>32</f>
        <v>32</v>
      </c>
      <c r="S23" s="68">
        <f t="shared" si="15"/>
        <v>95</v>
      </c>
      <c r="T23" s="12">
        <f t="shared" si="4"/>
        <v>0.50793650793650791</v>
      </c>
      <c r="U23" s="166">
        <f t="shared" si="5"/>
        <v>0.74981103552532125</v>
      </c>
      <c r="W23" s="83">
        <v>3</v>
      </c>
      <c r="X23" s="86">
        <f>3+9+16+56</f>
        <v>84</v>
      </c>
      <c r="Y23" s="5">
        <f>6+7+10</f>
        <v>23</v>
      </c>
      <c r="Z23" s="68">
        <f t="shared" si="16"/>
        <v>107</v>
      </c>
      <c r="AA23" s="27">
        <f t="shared" si="6"/>
        <v>0.27380952380952384</v>
      </c>
      <c r="AB23" s="74">
        <f>72+4</f>
        <v>76</v>
      </c>
      <c r="AC23" s="5">
        <f>3</f>
        <v>3</v>
      </c>
      <c r="AD23" s="68">
        <f t="shared" si="17"/>
        <v>79</v>
      </c>
      <c r="AE23" s="27">
        <f t="shared" si="7"/>
        <v>3.9473684210526314E-2</v>
      </c>
      <c r="AF23" s="167">
        <f t="shared" si="8"/>
        <v>0.14416475972540044</v>
      </c>
      <c r="AH23" s="82">
        <v>1</v>
      </c>
      <c r="AI23" s="86">
        <f>16+44+22+14</f>
        <v>96</v>
      </c>
      <c r="AJ23" s="5">
        <f>2+1+1+7</f>
        <v>11</v>
      </c>
      <c r="AK23" s="68">
        <f t="shared" si="18"/>
        <v>107</v>
      </c>
      <c r="AL23" s="27">
        <f t="shared" si="9"/>
        <v>0.11458333333333333</v>
      </c>
      <c r="AM23" s="74">
        <f>18+58+12</f>
        <v>88</v>
      </c>
      <c r="AN23" s="5">
        <v>0</v>
      </c>
      <c r="AO23" s="68">
        <f t="shared" si="19"/>
        <v>88</v>
      </c>
      <c r="AP23" s="12">
        <f t="shared" si="10"/>
        <v>0</v>
      </c>
      <c r="AQ23" s="166">
        <f t="shared" si="11"/>
        <v>0</v>
      </c>
    </row>
    <row r="24" spans="1:43" ht="15.75" thickBot="1" x14ac:dyDescent="0.3">
      <c r="A24" s="22">
        <f>COUNT(A4:A23)</f>
        <v>20</v>
      </c>
      <c r="B24" s="25">
        <f>SUM(B4:B23)</f>
        <v>1508</v>
      </c>
      <c r="C24" s="25">
        <f>SUM(C4:C23)</f>
        <v>822</v>
      </c>
      <c r="D24" s="25">
        <f>SUM(B24:C24)</f>
        <v>2330</v>
      </c>
      <c r="E24" s="24">
        <f>AVERAGE(E4:E23)</f>
        <v>0.57053109742896446</v>
      </c>
      <c r="F24" s="23">
        <f>SUM(F4:F23)</f>
        <v>1047</v>
      </c>
      <c r="G24" s="23">
        <f>SUM(G4:G23)</f>
        <v>254</v>
      </c>
      <c r="H24" s="25">
        <f>SUM(F24:G24)</f>
        <v>1301</v>
      </c>
      <c r="I24" s="24">
        <f>AVERAGE(I4:I23)</f>
        <v>0.26493950046639647</v>
      </c>
      <c r="J24" s="24">
        <f>AVERAGE(J4:J23)</f>
        <v>0.44794253672371853</v>
      </c>
      <c r="L24" s="82">
        <v>6</v>
      </c>
      <c r="M24" s="86">
        <f>20+25+24</f>
        <v>69</v>
      </c>
      <c r="N24" s="5">
        <f>25+15+23</f>
        <v>63</v>
      </c>
      <c r="O24" s="68">
        <f t="shared" si="14"/>
        <v>132</v>
      </c>
      <c r="P24" s="27">
        <f t="shared" si="3"/>
        <v>0.91304347826086951</v>
      </c>
      <c r="Q24" s="74">
        <f>13+6</f>
        <v>19</v>
      </c>
      <c r="R24" s="5">
        <f>6+7</f>
        <v>13</v>
      </c>
      <c r="S24" s="68">
        <f t="shared" si="15"/>
        <v>32</v>
      </c>
      <c r="T24" s="12">
        <f t="shared" si="4"/>
        <v>0.68421052631578949</v>
      </c>
      <c r="U24" s="166">
        <f t="shared" si="5"/>
        <v>0.74937343358395991</v>
      </c>
      <c r="W24" s="82">
        <v>10</v>
      </c>
      <c r="X24" s="86">
        <f>3+32+4</f>
        <v>39</v>
      </c>
      <c r="Y24" s="5">
        <f>7+18+1</f>
        <v>26</v>
      </c>
      <c r="Z24" s="68">
        <f t="shared" si="16"/>
        <v>65</v>
      </c>
      <c r="AA24" s="27">
        <f t="shared" si="6"/>
        <v>0.66666666666666663</v>
      </c>
      <c r="AB24" s="74">
        <f>21+48+11</f>
        <v>80</v>
      </c>
      <c r="AC24" s="5">
        <v>6</v>
      </c>
      <c r="AD24" s="68">
        <f t="shared" si="17"/>
        <v>86</v>
      </c>
      <c r="AE24" s="27">
        <f t="shared" si="7"/>
        <v>7.4999999999999997E-2</v>
      </c>
      <c r="AF24" s="166">
        <f t="shared" si="8"/>
        <v>0.1125</v>
      </c>
      <c r="AH24" s="82">
        <v>2</v>
      </c>
      <c r="AI24" s="86">
        <f>3+17+17+12</f>
        <v>49</v>
      </c>
      <c r="AJ24" s="5">
        <f>1+4+6+6</f>
        <v>17</v>
      </c>
      <c r="AK24" s="68">
        <f t="shared" si="18"/>
        <v>66</v>
      </c>
      <c r="AL24" s="27">
        <f t="shared" si="9"/>
        <v>0.34693877551020408</v>
      </c>
      <c r="AM24" s="74">
        <f>17+50+3</f>
        <v>70</v>
      </c>
      <c r="AN24" s="5">
        <v>0</v>
      </c>
      <c r="AO24" s="68">
        <f t="shared" si="19"/>
        <v>70</v>
      </c>
      <c r="AP24" s="12">
        <f t="shared" si="10"/>
        <v>0</v>
      </c>
      <c r="AQ24" s="166">
        <f t="shared" si="11"/>
        <v>0</v>
      </c>
    </row>
    <row r="25" spans="1:43" ht="15.75" thickBot="1" x14ac:dyDescent="0.3">
      <c r="D25" s="22">
        <f>AVERAGE(D4:D23)</f>
        <v>116.5</v>
      </c>
      <c r="H25" s="22">
        <f>AVERAGE(H4:H23)</f>
        <v>65.05</v>
      </c>
      <c r="J25" s="24">
        <f>STDEV(J4:J23)</f>
        <v>0.32905118532229544</v>
      </c>
      <c r="L25" s="82">
        <v>7</v>
      </c>
      <c r="M25" s="86">
        <f>47+13+25</f>
        <v>85</v>
      </c>
      <c r="N25" s="5">
        <f>31+6+16</f>
        <v>53</v>
      </c>
      <c r="O25" s="68">
        <f t="shared" si="14"/>
        <v>138</v>
      </c>
      <c r="P25" s="27">
        <f t="shared" si="3"/>
        <v>0.62352941176470589</v>
      </c>
      <c r="Q25" s="74">
        <f>16+68+19</f>
        <v>103</v>
      </c>
      <c r="R25" s="5">
        <f>16+20+12</f>
        <v>48</v>
      </c>
      <c r="S25" s="68">
        <f t="shared" si="15"/>
        <v>151</v>
      </c>
      <c r="T25" s="12">
        <f t="shared" si="4"/>
        <v>0.46601941747572817</v>
      </c>
      <c r="U25" s="166">
        <f t="shared" si="5"/>
        <v>0.74738963180069606</v>
      </c>
      <c r="W25" s="82">
        <v>1</v>
      </c>
      <c r="X25" s="86">
        <f>7+24+31</f>
        <v>62</v>
      </c>
      <c r="Y25" s="5">
        <f>4+20+10</f>
        <v>34</v>
      </c>
      <c r="Z25" s="68">
        <f t="shared" si="16"/>
        <v>96</v>
      </c>
      <c r="AA25" s="27">
        <f t="shared" si="6"/>
        <v>0.54838709677419351</v>
      </c>
      <c r="AB25" s="74">
        <f>20+38+14</f>
        <v>72</v>
      </c>
      <c r="AC25" s="5">
        <f>3</f>
        <v>3</v>
      </c>
      <c r="AD25" s="68">
        <f t="shared" si="17"/>
        <v>75</v>
      </c>
      <c r="AE25" s="27">
        <f t="shared" si="7"/>
        <v>4.1666666666666664E-2</v>
      </c>
      <c r="AF25" s="166">
        <f t="shared" si="8"/>
        <v>7.5980392156862753E-2</v>
      </c>
      <c r="AH25" s="82">
        <v>4</v>
      </c>
      <c r="AI25" s="86">
        <f>29+21+27+21</f>
        <v>98</v>
      </c>
      <c r="AJ25" s="5">
        <f>2+3+9</f>
        <v>14</v>
      </c>
      <c r="AK25" s="68">
        <f t="shared" si="18"/>
        <v>112</v>
      </c>
      <c r="AL25" s="27">
        <f t="shared" si="9"/>
        <v>0.14285714285714285</v>
      </c>
      <c r="AM25" s="74">
        <f>22+53+10</f>
        <v>85</v>
      </c>
      <c r="AN25" s="5">
        <v>0</v>
      </c>
      <c r="AO25" s="68">
        <f t="shared" si="19"/>
        <v>85</v>
      </c>
      <c r="AP25" s="12">
        <f t="shared" si="10"/>
        <v>0</v>
      </c>
      <c r="AQ25" s="166">
        <f t="shared" si="11"/>
        <v>0</v>
      </c>
    </row>
    <row r="26" spans="1:43" ht="15.75" thickBot="1" x14ac:dyDescent="0.3">
      <c r="D26" s="22">
        <f>STDEV(D4:D23)</f>
        <v>29.537665517276857</v>
      </c>
      <c r="H26" s="22">
        <f>STDEV(H4:H23)</f>
        <v>23.877924180252659</v>
      </c>
      <c r="J26" s="24">
        <f>J25/SQRT(A24)</f>
        <v>7.357808184575336E-2</v>
      </c>
      <c r="L26" s="82">
        <v>7</v>
      </c>
      <c r="M26" s="86">
        <f>16+17+31+28</f>
        <v>92</v>
      </c>
      <c r="N26" s="5">
        <f>19+15+16+11</f>
        <v>61</v>
      </c>
      <c r="O26" s="68">
        <f t="shared" si="14"/>
        <v>153</v>
      </c>
      <c r="P26" s="27">
        <f t="shared" si="3"/>
        <v>0.66304347826086951</v>
      </c>
      <c r="Q26" s="74">
        <f>24+62+3</f>
        <v>89</v>
      </c>
      <c r="R26" s="5">
        <f>21+22+1</f>
        <v>44</v>
      </c>
      <c r="S26" s="68">
        <f t="shared" si="15"/>
        <v>133</v>
      </c>
      <c r="T26" s="12">
        <f t="shared" si="4"/>
        <v>0.4943820224719101</v>
      </c>
      <c r="U26" s="167">
        <f t="shared" si="5"/>
        <v>0.74562534536747105</v>
      </c>
      <c r="W26" s="82">
        <v>8</v>
      </c>
      <c r="X26" s="86">
        <f>4+26+37</f>
        <v>67</v>
      </c>
      <c r="Y26" s="5">
        <f>1+25+18</f>
        <v>44</v>
      </c>
      <c r="Z26" s="68">
        <f t="shared" si="16"/>
        <v>111</v>
      </c>
      <c r="AA26" s="27">
        <f t="shared" si="6"/>
        <v>0.65671641791044777</v>
      </c>
      <c r="AB26" s="74">
        <f>11+37+16</f>
        <v>64</v>
      </c>
      <c r="AC26" s="5">
        <f>3</f>
        <v>3</v>
      </c>
      <c r="AD26" s="68">
        <f t="shared" si="17"/>
        <v>67</v>
      </c>
      <c r="AE26" s="27">
        <f t="shared" si="7"/>
        <v>4.6875E-2</v>
      </c>
      <c r="AF26" s="166">
        <f t="shared" si="8"/>
        <v>7.1377840909090912E-2</v>
      </c>
      <c r="AH26" s="82">
        <v>5</v>
      </c>
      <c r="AI26" s="86">
        <f>17+34+12+13</f>
        <v>76</v>
      </c>
      <c r="AJ26" s="5">
        <f>1+1+1+7</f>
        <v>10</v>
      </c>
      <c r="AK26" s="68">
        <f t="shared" si="18"/>
        <v>86</v>
      </c>
      <c r="AL26" s="27">
        <f t="shared" si="9"/>
        <v>0.13157894736842105</v>
      </c>
      <c r="AM26" s="74">
        <f>18+23+2</f>
        <v>43</v>
      </c>
      <c r="AN26" s="5">
        <v>0</v>
      </c>
      <c r="AO26" s="68">
        <f t="shared" si="19"/>
        <v>43</v>
      </c>
      <c r="AP26" s="12">
        <f t="shared" si="10"/>
        <v>0</v>
      </c>
      <c r="AQ26" s="166">
        <f t="shared" si="11"/>
        <v>0</v>
      </c>
    </row>
    <row r="27" spans="1:43" x14ac:dyDescent="0.25">
      <c r="L27" s="82">
        <v>2</v>
      </c>
      <c r="M27" s="86">
        <f>46+10+29</f>
        <v>85</v>
      </c>
      <c r="N27" s="5">
        <f>29+10+9</f>
        <v>48</v>
      </c>
      <c r="O27" s="68">
        <f t="shared" si="14"/>
        <v>133</v>
      </c>
      <c r="P27" s="27">
        <f t="shared" si="3"/>
        <v>0.56470588235294117</v>
      </c>
      <c r="Q27" s="74">
        <f>19+46+4</f>
        <v>69</v>
      </c>
      <c r="R27" s="5">
        <f>11+17+1</f>
        <v>29</v>
      </c>
      <c r="S27" s="68">
        <f t="shared" si="15"/>
        <v>98</v>
      </c>
      <c r="T27" s="12">
        <f t="shared" si="4"/>
        <v>0.42028985507246375</v>
      </c>
      <c r="U27" s="166">
        <f t="shared" si="5"/>
        <v>0.74426328502415451</v>
      </c>
      <c r="W27" s="88">
        <v>9</v>
      </c>
      <c r="X27" s="86">
        <f>13+29+22+31</f>
        <v>95</v>
      </c>
      <c r="Y27" s="5">
        <f>18+9+21</f>
        <v>48</v>
      </c>
      <c r="Z27" s="68">
        <f t="shared" si="16"/>
        <v>143</v>
      </c>
      <c r="AA27" s="27">
        <f t="shared" si="6"/>
        <v>0.50526315789473686</v>
      </c>
      <c r="AB27" s="74">
        <f>96+23</f>
        <v>119</v>
      </c>
      <c r="AC27" s="5">
        <f>4</f>
        <v>4</v>
      </c>
      <c r="AD27" s="68">
        <f t="shared" si="17"/>
        <v>123</v>
      </c>
      <c r="AE27" s="27">
        <f t="shared" si="7"/>
        <v>3.3613445378151259E-2</v>
      </c>
      <c r="AF27" s="166">
        <f t="shared" si="8"/>
        <v>6.6526610644257703E-2</v>
      </c>
      <c r="AH27" s="82">
        <v>6</v>
      </c>
      <c r="AI27" s="86">
        <f>21+55+10+14</f>
        <v>100</v>
      </c>
      <c r="AJ27" s="5">
        <f>1+5</f>
        <v>6</v>
      </c>
      <c r="AK27" s="68">
        <f t="shared" si="18"/>
        <v>106</v>
      </c>
      <c r="AL27" s="27">
        <f t="shared" si="9"/>
        <v>0.06</v>
      </c>
      <c r="AM27" s="74">
        <f>18+44+10</f>
        <v>72</v>
      </c>
      <c r="AN27" s="5">
        <v>0</v>
      </c>
      <c r="AO27" s="68">
        <f t="shared" si="19"/>
        <v>72</v>
      </c>
      <c r="AP27" s="12">
        <f t="shared" si="10"/>
        <v>0</v>
      </c>
      <c r="AQ27" s="166">
        <f t="shared" si="11"/>
        <v>0</v>
      </c>
    </row>
    <row r="28" spans="1:43" ht="15.75" thickBot="1" x14ac:dyDescent="0.3">
      <c r="L28" s="82">
        <v>5</v>
      </c>
      <c r="M28" s="86">
        <f>39+12+45</f>
        <v>96</v>
      </c>
      <c r="N28" s="5">
        <f>25+16+21</f>
        <v>62</v>
      </c>
      <c r="O28" s="68">
        <f t="shared" si="14"/>
        <v>158</v>
      </c>
      <c r="P28" s="27">
        <f t="shared" si="3"/>
        <v>0.64583333333333337</v>
      </c>
      <c r="Q28" s="74">
        <f>16+19+11</f>
        <v>46</v>
      </c>
      <c r="R28" s="5">
        <f>11+5+6</f>
        <v>22</v>
      </c>
      <c r="S28" s="68">
        <f t="shared" si="15"/>
        <v>68</v>
      </c>
      <c r="T28" s="12">
        <f t="shared" si="4"/>
        <v>0.47826086956521741</v>
      </c>
      <c r="U28" s="166">
        <f t="shared" si="5"/>
        <v>0.7405329593267882</v>
      </c>
      <c r="W28" s="91">
        <v>3</v>
      </c>
      <c r="X28" s="87">
        <f>42+26+19</f>
        <v>87</v>
      </c>
      <c r="Y28" s="13">
        <f>19+19+4</f>
        <v>42</v>
      </c>
      <c r="Z28" s="68">
        <f t="shared" si="16"/>
        <v>129</v>
      </c>
      <c r="AA28" s="34">
        <f t="shared" si="6"/>
        <v>0.48275862068965519</v>
      </c>
      <c r="AB28" s="75">
        <f>22+35+34</f>
        <v>91</v>
      </c>
      <c r="AC28" s="13">
        <f>0</f>
        <v>0</v>
      </c>
      <c r="AD28" s="68">
        <f t="shared" si="17"/>
        <v>91</v>
      </c>
      <c r="AE28" s="34">
        <f t="shared" si="7"/>
        <v>0</v>
      </c>
      <c r="AF28" s="168">
        <f t="shared" si="8"/>
        <v>0</v>
      </c>
      <c r="AH28" s="82">
        <v>7</v>
      </c>
      <c r="AI28" s="86">
        <f>11+33+9+12</f>
        <v>65</v>
      </c>
      <c r="AJ28" s="5">
        <v>3</v>
      </c>
      <c r="AK28" s="68">
        <f t="shared" si="18"/>
        <v>68</v>
      </c>
      <c r="AL28" s="27">
        <f t="shared" si="9"/>
        <v>4.6153846153846156E-2</v>
      </c>
      <c r="AM28" s="74">
        <f>13+38+18</f>
        <v>69</v>
      </c>
      <c r="AN28" s="5">
        <v>0</v>
      </c>
      <c r="AO28" s="68">
        <f t="shared" si="19"/>
        <v>69</v>
      </c>
      <c r="AP28" s="12">
        <f t="shared" si="10"/>
        <v>0</v>
      </c>
      <c r="AQ28" s="166">
        <f t="shared" si="11"/>
        <v>0</v>
      </c>
    </row>
    <row r="29" spans="1:43" ht="15.75" thickBot="1" x14ac:dyDescent="0.3">
      <c r="L29" s="82">
        <v>1</v>
      </c>
      <c r="M29" s="86">
        <f>19+39+15</f>
        <v>73</v>
      </c>
      <c r="N29" s="5">
        <f>13+19+13</f>
        <v>45</v>
      </c>
      <c r="O29" s="68">
        <f t="shared" si="14"/>
        <v>118</v>
      </c>
      <c r="P29" s="27">
        <f t="shared" si="3"/>
        <v>0.61643835616438358</v>
      </c>
      <c r="Q29" s="74">
        <f>15+1</f>
        <v>16</v>
      </c>
      <c r="R29" s="5">
        <f>7</f>
        <v>7</v>
      </c>
      <c r="S29" s="68">
        <f t="shared" si="15"/>
        <v>23</v>
      </c>
      <c r="T29" s="12">
        <f t="shared" si="4"/>
        <v>0.4375</v>
      </c>
      <c r="U29" s="166">
        <f t="shared" si="5"/>
        <v>0.70972222222222214</v>
      </c>
      <c r="W29" s="22">
        <f>COUNT(W4:W28)</f>
        <v>25</v>
      </c>
      <c r="X29" s="25">
        <f>SUM(X4:X28)</f>
        <v>2162</v>
      </c>
      <c r="Y29" s="25">
        <f>SUM(Y4:Y28)</f>
        <v>1073</v>
      </c>
      <c r="Z29" s="25">
        <f>SUM(X29:Y29)</f>
        <v>3235</v>
      </c>
      <c r="AA29" s="24">
        <f>AVERAGE(AA4:AA28)</f>
        <v>0.51072329651828241</v>
      </c>
      <c r="AB29" s="25">
        <f>SUM(AB4:AB28)</f>
        <v>1566</v>
      </c>
      <c r="AC29" s="25">
        <f>SUM(AC4:AC28)</f>
        <v>224</v>
      </c>
      <c r="AD29" s="25">
        <f>SUM(AB29:AC29)</f>
        <v>1790</v>
      </c>
      <c r="AE29" s="24">
        <f>AVERAGE(AE4:AE28)</f>
        <v>0.17407394328416864</v>
      </c>
      <c r="AF29" s="24">
        <f>AVERAGE(AF4:AF28)</f>
        <v>0.3398567269143562</v>
      </c>
      <c r="AH29" s="82">
        <v>8</v>
      </c>
      <c r="AI29" s="86">
        <f>22+43+15+9</f>
        <v>89</v>
      </c>
      <c r="AJ29" s="5">
        <f>1+5</f>
        <v>6</v>
      </c>
      <c r="AK29" s="68">
        <f t="shared" si="18"/>
        <v>95</v>
      </c>
      <c r="AL29" s="27">
        <f t="shared" si="9"/>
        <v>6.741573033707865E-2</v>
      </c>
      <c r="AM29" s="74">
        <f>20+31+13</f>
        <v>64</v>
      </c>
      <c r="AN29" s="5">
        <v>0</v>
      </c>
      <c r="AO29" s="68">
        <f t="shared" si="19"/>
        <v>64</v>
      </c>
      <c r="AP29" s="12">
        <f t="shared" si="10"/>
        <v>0</v>
      </c>
      <c r="AQ29" s="166">
        <f t="shared" si="11"/>
        <v>0</v>
      </c>
    </row>
    <row r="30" spans="1:43" ht="15.75" thickBot="1" x14ac:dyDescent="0.3">
      <c r="L30" s="82">
        <v>4</v>
      </c>
      <c r="M30" s="86">
        <f>27+24+41</f>
        <v>92</v>
      </c>
      <c r="N30" s="5">
        <f>21+8+25</f>
        <v>54</v>
      </c>
      <c r="O30" s="68">
        <f t="shared" si="14"/>
        <v>146</v>
      </c>
      <c r="P30" s="27">
        <f t="shared" si="3"/>
        <v>0.58695652173913049</v>
      </c>
      <c r="Q30" s="74">
        <f>13+72+12</f>
        <v>97</v>
      </c>
      <c r="R30" s="5">
        <f>13+21+5</f>
        <v>39</v>
      </c>
      <c r="S30" s="68">
        <f t="shared" si="15"/>
        <v>136</v>
      </c>
      <c r="T30" s="12">
        <f t="shared" si="4"/>
        <v>0.40206185567010311</v>
      </c>
      <c r="U30" s="166">
        <f t="shared" si="5"/>
        <v>0.68499427262313861</v>
      </c>
      <c r="Z30" s="22">
        <f>AVERAGE(Z4:Z28)</f>
        <v>129.4</v>
      </c>
      <c r="AD30" s="22">
        <f>AVERAGE(AD4:AD28)</f>
        <v>71.599999999999994</v>
      </c>
      <c r="AF30" s="24">
        <f>STDEV(AF4:AF28)</f>
        <v>0.23668970487308416</v>
      </c>
      <c r="AH30" s="82">
        <v>9</v>
      </c>
      <c r="AI30" s="86">
        <f>25+40+19+10</f>
        <v>94</v>
      </c>
      <c r="AJ30" s="5">
        <f>3+1+2</f>
        <v>6</v>
      </c>
      <c r="AK30" s="68">
        <f t="shared" si="18"/>
        <v>100</v>
      </c>
      <c r="AL30" s="27">
        <f t="shared" si="9"/>
        <v>6.3829787234042548E-2</v>
      </c>
      <c r="AM30" s="74">
        <f>14+38+16</f>
        <v>68</v>
      </c>
      <c r="AN30" s="5">
        <v>0</v>
      </c>
      <c r="AO30" s="68">
        <f t="shared" si="19"/>
        <v>68</v>
      </c>
      <c r="AP30" s="12">
        <f t="shared" si="10"/>
        <v>0</v>
      </c>
      <c r="AQ30" s="166">
        <f t="shared" si="11"/>
        <v>0</v>
      </c>
    </row>
    <row r="31" spans="1:43" ht="15.75" thickBot="1" x14ac:dyDescent="0.3">
      <c r="L31" s="82">
        <v>4</v>
      </c>
      <c r="M31" s="86">
        <f>25+45+12</f>
        <v>82</v>
      </c>
      <c r="N31" s="5">
        <f>24+13+5</f>
        <v>42</v>
      </c>
      <c r="O31" s="68">
        <f t="shared" si="14"/>
        <v>124</v>
      </c>
      <c r="P31" s="27">
        <f t="shared" si="3"/>
        <v>0.51219512195121952</v>
      </c>
      <c r="Q31" s="74">
        <f>45+27</f>
        <v>72</v>
      </c>
      <c r="R31" s="5">
        <f>25</f>
        <v>25</v>
      </c>
      <c r="S31" s="68">
        <f t="shared" si="15"/>
        <v>97</v>
      </c>
      <c r="T31" s="12">
        <f t="shared" si="4"/>
        <v>0.34722222222222221</v>
      </c>
      <c r="U31" s="166">
        <f t="shared" si="5"/>
        <v>0.67791005291005291</v>
      </c>
      <c r="Z31" s="22">
        <f>STDEV(Z4:Z28)</f>
        <v>27.2778909253141</v>
      </c>
      <c r="AD31" s="22">
        <f>STDEV(AD4:AD28)</f>
        <v>31.20096152364539</v>
      </c>
      <c r="AF31" s="24">
        <f>AF30/SQRT(W29)</f>
        <v>4.7337940974616834E-2</v>
      </c>
      <c r="AH31" s="84">
        <v>10</v>
      </c>
      <c r="AI31" s="87">
        <f>19+43+9+13</f>
        <v>84</v>
      </c>
      <c r="AJ31" s="13">
        <f>3+3+2+6</f>
        <v>14</v>
      </c>
      <c r="AK31" s="68">
        <f t="shared" si="18"/>
        <v>98</v>
      </c>
      <c r="AL31" s="34">
        <f t="shared" si="9"/>
        <v>0.16666666666666666</v>
      </c>
      <c r="AM31" s="75">
        <f>28+46+8</f>
        <v>82</v>
      </c>
      <c r="AN31" s="13">
        <v>0</v>
      </c>
      <c r="AO31" s="68">
        <f t="shared" si="19"/>
        <v>82</v>
      </c>
      <c r="AP31" s="15">
        <f t="shared" si="10"/>
        <v>0</v>
      </c>
      <c r="AQ31" s="168">
        <f t="shared" si="11"/>
        <v>0</v>
      </c>
    </row>
    <row r="32" spans="1:43" ht="15.75" thickBot="1" x14ac:dyDescent="0.3">
      <c r="L32" s="83">
        <v>3</v>
      </c>
      <c r="M32" s="86">
        <f>5+7+19+13+16</f>
        <v>60</v>
      </c>
      <c r="N32" s="5">
        <f>8+14+10+6+5</f>
        <v>43</v>
      </c>
      <c r="O32" s="68">
        <f t="shared" si="14"/>
        <v>103</v>
      </c>
      <c r="P32" s="27">
        <f t="shared" si="3"/>
        <v>0.71666666666666667</v>
      </c>
      <c r="Q32" s="74">
        <f>15+37</f>
        <v>52</v>
      </c>
      <c r="R32" s="5">
        <f>15+10</f>
        <v>25</v>
      </c>
      <c r="S32" s="68">
        <f t="shared" si="15"/>
        <v>77</v>
      </c>
      <c r="T32" s="12">
        <f t="shared" si="4"/>
        <v>0.48076923076923078</v>
      </c>
      <c r="U32" s="166">
        <f t="shared" si="5"/>
        <v>0.67084078711985695</v>
      </c>
      <c r="AH32" s="22">
        <f>COUNT(AH4:AH31)</f>
        <v>28</v>
      </c>
      <c r="AI32" s="25">
        <f>SUM(AI4:AI31)</f>
        <v>2130</v>
      </c>
      <c r="AJ32" s="25">
        <f>SUM(AJ4:AJ31)</f>
        <v>504</v>
      </c>
      <c r="AK32" s="25">
        <f>SUM(AI32:AJ32)</f>
        <v>2634</v>
      </c>
      <c r="AL32" s="24">
        <f>AVERAGE(AL4:AL31)</f>
        <v>0.27224531803916685</v>
      </c>
      <c r="AM32" s="25">
        <f>SUM(AM4:AM31)</f>
        <v>1731</v>
      </c>
      <c r="AN32" s="25">
        <f>SUM(AN4:AN31)</f>
        <v>20</v>
      </c>
      <c r="AO32" s="25">
        <f>SUM(AM32:AN32)</f>
        <v>1751</v>
      </c>
      <c r="AP32" s="24">
        <f>AVERAGE(AP4:AP31)</f>
        <v>1.948610787301781E-2</v>
      </c>
      <c r="AQ32" s="24">
        <f>AVERAGE(AQ4:AQ31)</f>
        <v>5.6269855929493816E-2</v>
      </c>
    </row>
    <row r="33" spans="1:43" ht="15.75" thickBot="1" x14ac:dyDescent="0.3">
      <c r="L33" s="91">
        <v>3</v>
      </c>
      <c r="M33" s="87">
        <f>40+16+8</f>
        <v>64</v>
      </c>
      <c r="N33" s="13">
        <f>28+7+6</f>
        <v>41</v>
      </c>
      <c r="O33" s="68">
        <f t="shared" si="14"/>
        <v>105</v>
      </c>
      <c r="P33" s="34">
        <f t="shared" si="3"/>
        <v>0.640625</v>
      </c>
      <c r="Q33" s="75">
        <f>22+64</f>
        <v>86</v>
      </c>
      <c r="R33" s="13">
        <f>9+23</f>
        <v>32</v>
      </c>
      <c r="S33" s="68">
        <f t="shared" si="15"/>
        <v>118</v>
      </c>
      <c r="T33" s="15">
        <f t="shared" si="4"/>
        <v>0.37209302325581395</v>
      </c>
      <c r="U33" s="168">
        <f t="shared" si="5"/>
        <v>0.58082813386273402</v>
      </c>
      <c r="AK33" s="22">
        <f>AVERAGE(AK4:AK31)</f>
        <v>94.071428571428569</v>
      </c>
      <c r="AO33" s="22">
        <f>AVERAGE(AO4:AO31)</f>
        <v>62.535714285714285</v>
      </c>
      <c r="AQ33" s="24">
        <f>STDEV(AQ4:AQ31)</f>
        <v>9.4755459618798346E-2</v>
      </c>
    </row>
    <row r="34" spans="1:43" ht="15.75" thickBot="1" x14ac:dyDescent="0.3">
      <c r="L34" s="22">
        <f>COUNT(L4:L33)</f>
        <v>30</v>
      </c>
      <c r="M34" s="25">
        <f>SUM(M4:M33)</f>
        <v>2594</v>
      </c>
      <c r="N34" s="25">
        <f>SUM(N4:N33)</f>
        <v>1528</v>
      </c>
      <c r="O34" s="25">
        <f>SUM(M34:N34)</f>
        <v>4122</v>
      </c>
      <c r="P34" s="24">
        <f>AVERAGE(P4:P33)</f>
        <v>0.60543086652729639</v>
      </c>
      <c r="Q34" s="25">
        <f>SUM(Q4:Q33)</f>
        <v>2073</v>
      </c>
      <c r="R34" s="25">
        <f>SUM(R4:R33)</f>
        <v>1061</v>
      </c>
      <c r="S34" s="25">
        <f>SUM(Q34:R34)</f>
        <v>3134</v>
      </c>
      <c r="T34" s="24">
        <f>AVERAGE(T4:T33)</f>
        <v>0.5840969940129066</v>
      </c>
      <c r="U34" s="24">
        <f>AVERAGE(U4:U33)</f>
        <v>0.97149605796536975</v>
      </c>
      <c r="AK34" s="22">
        <f>STDEV(AK4:AK31)</f>
        <v>22.33570231453664</v>
      </c>
      <c r="AO34" s="22">
        <f>STDEV(AO4:AO31)</f>
        <v>19.351489832314176</v>
      </c>
      <c r="AQ34" s="24">
        <f>AQ33/SQRT(AH32)</f>
        <v>1.7907098679783112E-2</v>
      </c>
    </row>
    <row r="35" spans="1:43" ht="15.75" thickBot="1" x14ac:dyDescent="0.3">
      <c r="O35" s="22">
        <f>AVERAGE(O4:O33)</f>
        <v>137.4</v>
      </c>
      <c r="S35" s="22">
        <f>AVERAGE(S4:S33)</f>
        <v>104.46666666666667</v>
      </c>
      <c r="U35" s="24">
        <f>STDEV(U4:U33)</f>
        <v>0.3695152370983541</v>
      </c>
    </row>
    <row r="36" spans="1:43" ht="15.75" thickBot="1" x14ac:dyDescent="0.3">
      <c r="O36" s="22">
        <f>STDEV(O4:O33)</f>
        <v>28.475761017350173</v>
      </c>
      <c r="S36" s="22">
        <f>STDEV(S4:S33)</f>
        <v>45.114974449069898</v>
      </c>
      <c r="U36" s="24">
        <f>U35/SQRT(L34)</f>
        <v>6.7463943566879445E-2</v>
      </c>
    </row>
    <row r="37" spans="1:43" x14ac:dyDescent="0.25">
      <c r="O37" s="119"/>
      <c r="P37" s="120"/>
      <c r="Q37" s="120"/>
      <c r="R37" s="120"/>
      <c r="S37" s="119"/>
      <c r="T37" s="120"/>
      <c r="U37" s="121"/>
    </row>
    <row r="38" spans="1:43" x14ac:dyDescent="0.25">
      <c r="P38" s="120"/>
      <c r="Q38" s="120"/>
      <c r="R38" s="120"/>
      <c r="S38" s="119"/>
      <c r="T38" s="120"/>
      <c r="U38" s="121"/>
    </row>
    <row r="39" spans="1:43" x14ac:dyDescent="0.25">
      <c r="O39" s="119"/>
      <c r="P39" s="120"/>
      <c r="Q39" s="120"/>
      <c r="R39" s="120"/>
      <c r="S39" s="119"/>
      <c r="T39" s="120"/>
      <c r="U39" s="121"/>
    </row>
    <row r="40" spans="1:43" ht="33.6" customHeight="1" thickBot="1" x14ac:dyDescent="0.3"/>
    <row r="41" spans="1:43" x14ac:dyDescent="0.25">
      <c r="A41" s="191" t="s">
        <v>3</v>
      </c>
      <c r="B41" s="179" t="s">
        <v>1</v>
      </c>
      <c r="C41" s="179"/>
      <c r="D41" s="179"/>
      <c r="E41" s="180"/>
      <c r="F41" s="181" t="s">
        <v>8</v>
      </c>
      <c r="G41" s="182"/>
      <c r="H41" s="182"/>
      <c r="I41" s="183"/>
      <c r="J41" s="186" t="s">
        <v>7</v>
      </c>
      <c r="L41" s="191" t="s">
        <v>3</v>
      </c>
      <c r="M41" s="179" t="s">
        <v>1</v>
      </c>
      <c r="N41" s="179"/>
      <c r="O41" s="179"/>
      <c r="P41" s="179"/>
      <c r="Q41" s="184" t="s">
        <v>8</v>
      </c>
      <c r="R41" s="182"/>
      <c r="S41" s="182"/>
      <c r="T41" s="183"/>
      <c r="U41" s="186" t="s">
        <v>7</v>
      </c>
      <c r="W41" s="191" t="s">
        <v>3</v>
      </c>
      <c r="X41" s="179" t="s">
        <v>1</v>
      </c>
      <c r="Y41" s="179"/>
      <c r="Z41" s="179"/>
      <c r="AA41" s="185"/>
      <c r="AB41" s="182" t="s">
        <v>8</v>
      </c>
      <c r="AC41" s="182"/>
      <c r="AD41" s="182"/>
      <c r="AE41" s="183"/>
      <c r="AF41" s="186" t="s">
        <v>7</v>
      </c>
      <c r="AH41" s="191" t="s">
        <v>3</v>
      </c>
      <c r="AI41" s="179" t="s">
        <v>1</v>
      </c>
      <c r="AJ41" s="179"/>
      <c r="AK41" s="179"/>
      <c r="AL41" s="179"/>
      <c r="AM41" s="184" t="s">
        <v>8</v>
      </c>
      <c r="AN41" s="182"/>
      <c r="AO41" s="182"/>
      <c r="AP41" s="183"/>
      <c r="AQ41" s="186" t="s">
        <v>7</v>
      </c>
    </row>
    <row r="42" spans="1:43" ht="15.75" thickBot="1" x14ac:dyDescent="0.3">
      <c r="A42" s="192"/>
      <c r="B42" s="94" t="s">
        <v>4</v>
      </c>
      <c r="C42" s="29" t="s">
        <v>5</v>
      </c>
      <c r="D42" s="69" t="s">
        <v>17</v>
      </c>
      <c r="E42" s="29" t="s">
        <v>6</v>
      </c>
      <c r="F42" s="29" t="s">
        <v>4</v>
      </c>
      <c r="G42" s="29" t="s">
        <v>5</v>
      </c>
      <c r="H42" s="69" t="s">
        <v>17</v>
      </c>
      <c r="I42" s="32" t="s">
        <v>6</v>
      </c>
      <c r="J42" s="187"/>
      <c r="L42" s="193"/>
      <c r="M42" s="85" t="s">
        <v>4</v>
      </c>
      <c r="N42" s="8" t="s">
        <v>5</v>
      </c>
      <c r="O42" s="69" t="s">
        <v>17</v>
      </c>
      <c r="P42" s="71" t="s">
        <v>6</v>
      </c>
      <c r="Q42" s="78" t="s">
        <v>4</v>
      </c>
      <c r="R42" s="44" t="s">
        <v>5</v>
      </c>
      <c r="S42" s="69" t="s">
        <v>17</v>
      </c>
      <c r="T42" s="79" t="s">
        <v>6</v>
      </c>
      <c r="U42" s="194"/>
      <c r="W42" s="193"/>
      <c r="X42" s="44" t="s">
        <v>4</v>
      </c>
      <c r="Y42" s="44" t="s">
        <v>5</v>
      </c>
      <c r="Z42" s="69" t="s">
        <v>17</v>
      </c>
      <c r="AA42" s="101" t="s">
        <v>6</v>
      </c>
      <c r="AB42" s="44" t="s">
        <v>4</v>
      </c>
      <c r="AC42" s="44" t="s">
        <v>5</v>
      </c>
      <c r="AD42" s="69" t="s">
        <v>17</v>
      </c>
      <c r="AE42" s="45" t="s">
        <v>6</v>
      </c>
      <c r="AF42" s="187"/>
      <c r="AH42" s="193"/>
      <c r="AI42" s="44" t="s">
        <v>4</v>
      </c>
      <c r="AJ42" s="44" t="s">
        <v>5</v>
      </c>
      <c r="AK42" s="69" t="s">
        <v>17</v>
      </c>
      <c r="AL42" s="44" t="s">
        <v>6</v>
      </c>
      <c r="AM42" s="78" t="s">
        <v>4</v>
      </c>
      <c r="AN42" s="44" t="s">
        <v>5</v>
      </c>
      <c r="AO42" s="69" t="s">
        <v>17</v>
      </c>
      <c r="AP42" s="79" t="s">
        <v>6</v>
      </c>
      <c r="AQ42" s="187"/>
    </row>
    <row r="43" spans="1:43" x14ac:dyDescent="0.25">
      <c r="A43" s="93">
        <v>1</v>
      </c>
      <c r="B43" s="89">
        <f>27+13+45</f>
        <v>85</v>
      </c>
      <c r="C43" s="9">
        <f>16+4+20</f>
        <v>40</v>
      </c>
      <c r="D43" s="63">
        <f>SUM(B43:C43)</f>
        <v>125</v>
      </c>
      <c r="E43" s="10">
        <f t="shared" ref="E43:E48" si="20">C43/B43</f>
        <v>0.47058823529411764</v>
      </c>
      <c r="F43" s="9">
        <f>5+9+9</f>
        <v>23</v>
      </c>
      <c r="G43" s="9">
        <v>0</v>
      </c>
      <c r="H43" s="63">
        <f>SUM(F43:G43)</f>
        <v>23</v>
      </c>
      <c r="I43" s="33">
        <f>G43/F43</f>
        <v>0</v>
      </c>
      <c r="J43" s="165">
        <f t="shared" ref="J43:J58" si="21">I43/E43</f>
        <v>0</v>
      </c>
      <c r="L43" s="88">
        <v>5</v>
      </c>
      <c r="M43" s="86">
        <f>8+11+19+46</f>
        <v>84</v>
      </c>
      <c r="N43" s="5">
        <f>10+13+8+20</f>
        <v>51</v>
      </c>
      <c r="O43" s="63">
        <f>SUM(M43:N43)</f>
        <v>135</v>
      </c>
      <c r="P43" s="27">
        <f t="shared" ref="P43:P74" si="22">N43/M43</f>
        <v>0.6071428571428571</v>
      </c>
      <c r="Q43" s="80">
        <f>10+11</f>
        <v>21</v>
      </c>
      <c r="R43" s="46">
        <f>12+5</f>
        <v>17</v>
      </c>
      <c r="S43" s="63">
        <f>SUM(Q43:R43)</f>
        <v>38</v>
      </c>
      <c r="T43" s="48">
        <f t="shared" ref="T43:T87" si="23">R43/Q43</f>
        <v>0.80952380952380953</v>
      </c>
      <c r="U43" s="171">
        <f t="shared" ref="U43:U74" si="24">T43/P43</f>
        <v>1.3333333333333335</v>
      </c>
      <c r="W43" s="82">
        <v>2</v>
      </c>
      <c r="X43" s="46">
        <f>29+55</f>
        <v>84</v>
      </c>
      <c r="Y43" s="46">
        <f>17+22</f>
        <v>39</v>
      </c>
      <c r="Z43" s="63">
        <f>SUM(X43:Y43)</f>
        <v>123</v>
      </c>
      <c r="AA43" s="48">
        <f t="shared" ref="AA43:AA46" si="25">Y43/X43</f>
        <v>0.4642857142857143</v>
      </c>
      <c r="AB43" s="46">
        <f>36</f>
        <v>36</v>
      </c>
      <c r="AC43" s="46">
        <v>4</v>
      </c>
      <c r="AD43" s="63">
        <f>SUM(AB43:AC43)</f>
        <v>40</v>
      </c>
      <c r="AE43" s="47">
        <f t="shared" ref="AE43:AE54" si="26">AC43/AB43</f>
        <v>0.1111111111111111</v>
      </c>
      <c r="AF43" s="165">
        <f>AE43/AA43</f>
        <v>0.2393162393162393</v>
      </c>
      <c r="AH43" s="82">
        <v>1</v>
      </c>
      <c r="AI43" s="46">
        <f>1+18+13+6</f>
        <v>38</v>
      </c>
      <c r="AJ43" s="46">
        <f>1+10+8+1</f>
        <v>20</v>
      </c>
      <c r="AK43" s="63">
        <f>SUM(AI43:AJ43)</f>
        <v>58</v>
      </c>
      <c r="AL43" s="47">
        <f t="shared" ref="AL43:AL65" si="27">AJ43/AI43</f>
        <v>0.52631578947368418</v>
      </c>
      <c r="AM43" s="80">
        <f>18+61</f>
        <v>79</v>
      </c>
      <c r="AN43" s="46">
        <v>0</v>
      </c>
      <c r="AO43" s="63">
        <f>SUM(AM43:AN43)</f>
        <v>79</v>
      </c>
      <c r="AP43" s="48">
        <f t="shared" ref="AP43:AP65" si="28">AN43/AM43</f>
        <v>0</v>
      </c>
      <c r="AQ43" s="166">
        <f>AP43/AL43</f>
        <v>0</v>
      </c>
    </row>
    <row r="44" spans="1:43" x14ac:dyDescent="0.25">
      <c r="A44" s="88">
        <v>2</v>
      </c>
      <c r="B44" s="86">
        <f>16+10+20</f>
        <v>46</v>
      </c>
      <c r="C44" s="5">
        <f>19+10+20</f>
        <v>49</v>
      </c>
      <c r="D44" s="5">
        <f t="shared" ref="D44:D58" si="29">SUM(B44:C44)</f>
        <v>95</v>
      </c>
      <c r="E44" s="6">
        <f t="shared" si="20"/>
        <v>1.0652173913043479</v>
      </c>
      <c r="F44" s="5">
        <f>8+25+8</f>
        <v>41</v>
      </c>
      <c r="G44" s="5">
        <v>1</v>
      </c>
      <c r="H44" s="5">
        <f t="shared" ref="H44:H58" si="30">SUM(F44:G44)</f>
        <v>42</v>
      </c>
      <c r="I44" s="27">
        <f t="shared" ref="I44:I51" si="31">G44/F44</f>
        <v>2.4390243902439025E-2</v>
      </c>
      <c r="J44" s="166">
        <f t="shared" si="21"/>
        <v>2.2896963663514184E-2</v>
      </c>
      <c r="L44" s="88">
        <v>10</v>
      </c>
      <c r="M44" s="86">
        <f>26+21+25</f>
        <v>72</v>
      </c>
      <c r="N44" s="5">
        <f>1+7+4+10</f>
        <v>22</v>
      </c>
      <c r="O44" s="5">
        <f t="shared" ref="O44:O91" si="32">SUM(M44:N44)</f>
        <v>94</v>
      </c>
      <c r="P44" s="27">
        <f t="shared" si="22"/>
        <v>0.30555555555555558</v>
      </c>
      <c r="Q44" s="80">
        <f>48+12</f>
        <v>60</v>
      </c>
      <c r="R44" s="46">
        <f>24</f>
        <v>24</v>
      </c>
      <c r="S44" s="5">
        <f t="shared" ref="S44:S91" si="33">SUM(Q44:R44)</f>
        <v>84</v>
      </c>
      <c r="T44" s="48">
        <f t="shared" si="23"/>
        <v>0.4</v>
      </c>
      <c r="U44" s="171">
        <f t="shared" si="24"/>
        <v>1.3090909090909091</v>
      </c>
      <c r="W44" s="83">
        <v>3</v>
      </c>
      <c r="X44" s="46">
        <f>32+48</f>
        <v>80</v>
      </c>
      <c r="Y44" s="46">
        <f>13+32</f>
        <v>45</v>
      </c>
      <c r="Z44" s="5">
        <f t="shared" ref="Z44:Z62" si="34">SUM(X44:Y44)</f>
        <v>125</v>
      </c>
      <c r="AA44" s="48">
        <f t="shared" si="25"/>
        <v>0.5625</v>
      </c>
      <c r="AB44" s="46">
        <f>17+17+1</f>
        <v>35</v>
      </c>
      <c r="AC44" s="46">
        <v>1</v>
      </c>
      <c r="AD44" s="5">
        <f t="shared" ref="AD44:AD62" si="35">SUM(AB44:AC44)</f>
        <v>36</v>
      </c>
      <c r="AE44" s="47">
        <f t="shared" si="26"/>
        <v>2.8571428571428571E-2</v>
      </c>
      <c r="AF44" s="166">
        <f t="shared" ref="AF44:AF62" si="36">AE44/AA44</f>
        <v>5.0793650793650794E-2</v>
      </c>
      <c r="AH44" s="82">
        <v>2</v>
      </c>
      <c r="AI44" s="46">
        <f>11+2+25+10+13</f>
        <v>61</v>
      </c>
      <c r="AJ44" s="46">
        <f>4+5+8+10</f>
        <v>27</v>
      </c>
      <c r="AK44" s="5">
        <f t="shared" ref="AK44:AK65" si="37">SUM(AI44:AJ44)</f>
        <v>88</v>
      </c>
      <c r="AL44" s="47">
        <f t="shared" si="27"/>
        <v>0.44262295081967212</v>
      </c>
      <c r="AM44" s="80">
        <f>30+17</f>
        <v>47</v>
      </c>
      <c r="AN44" s="46">
        <v>0</v>
      </c>
      <c r="AO44" s="5">
        <f t="shared" ref="AO44:AO65" si="38">SUM(AM44:AN44)</f>
        <v>47</v>
      </c>
      <c r="AP44" s="48">
        <f t="shared" si="28"/>
        <v>0</v>
      </c>
      <c r="AQ44" s="166">
        <f t="shared" ref="AQ44:AQ65" si="39">AP44/AL44</f>
        <v>0</v>
      </c>
    </row>
    <row r="45" spans="1:43" x14ac:dyDescent="0.25">
      <c r="A45" s="83">
        <v>3</v>
      </c>
      <c r="B45" s="86">
        <f>35+22+38</f>
        <v>95</v>
      </c>
      <c r="C45" s="5">
        <f>9+11+19</f>
        <v>39</v>
      </c>
      <c r="D45" s="5">
        <f t="shared" si="29"/>
        <v>134</v>
      </c>
      <c r="E45" s="6">
        <f t="shared" si="20"/>
        <v>0.41052631578947368</v>
      </c>
      <c r="F45" s="5">
        <f>3+18+8</f>
        <v>29</v>
      </c>
      <c r="G45" s="5">
        <v>0</v>
      </c>
      <c r="H45" s="5">
        <f t="shared" si="30"/>
        <v>29</v>
      </c>
      <c r="I45" s="27">
        <f t="shared" si="31"/>
        <v>0</v>
      </c>
      <c r="J45" s="166">
        <f t="shared" si="21"/>
        <v>0</v>
      </c>
      <c r="L45" s="88">
        <v>1</v>
      </c>
      <c r="M45" s="86">
        <f>16+23+12+27</f>
        <v>78</v>
      </c>
      <c r="N45" s="5">
        <f>7+14+10+8</f>
        <v>39</v>
      </c>
      <c r="O45" s="5">
        <f t="shared" si="32"/>
        <v>117</v>
      </c>
      <c r="P45" s="27">
        <f t="shared" si="22"/>
        <v>0.5</v>
      </c>
      <c r="Q45" s="80">
        <f>28</f>
        <v>28</v>
      </c>
      <c r="R45" s="46">
        <f>9+8</f>
        <v>17</v>
      </c>
      <c r="S45" s="5">
        <f t="shared" si="33"/>
        <v>45</v>
      </c>
      <c r="T45" s="48">
        <f t="shared" si="23"/>
        <v>0.6071428571428571</v>
      </c>
      <c r="U45" s="171">
        <f t="shared" si="24"/>
        <v>1.2142857142857142</v>
      </c>
      <c r="W45" s="82">
        <v>4</v>
      </c>
      <c r="X45" s="46">
        <f>41+47</f>
        <v>88</v>
      </c>
      <c r="Y45" s="46">
        <f>16+24</f>
        <v>40</v>
      </c>
      <c r="Z45" s="5">
        <f t="shared" si="34"/>
        <v>128</v>
      </c>
      <c r="AA45" s="48">
        <f t="shared" si="25"/>
        <v>0.45454545454545453</v>
      </c>
      <c r="AB45" s="46">
        <f>20+47</f>
        <v>67</v>
      </c>
      <c r="AC45" s="46">
        <v>0</v>
      </c>
      <c r="AD45" s="5">
        <f t="shared" si="35"/>
        <v>67</v>
      </c>
      <c r="AE45" s="47">
        <f t="shared" si="26"/>
        <v>0</v>
      </c>
      <c r="AF45" s="166">
        <f t="shared" si="36"/>
        <v>0</v>
      </c>
      <c r="AH45" s="83">
        <v>3</v>
      </c>
      <c r="AI45" s="46">
        <f>6+22+10+14</f>
        <v>52</v>
      </c>
      <c r="AJ45" s="46">
        <f>2+6+5+11+5</f>
        <v>29</v>
      </c>
      <c r="AK45" s="5">
        <f t="shared" si="37"/>
        <v>81</v>
      </c>
      <c r="AL45" s="47">
        <f t="shared" si="27"/>
        <v>0.55769230769230771</v>
      </c>
      <c r="AM45" s="80">
        <f>34+43</f>
        <v>77</v>
      </c>
      <c r="AN45" s="46">
        <v>0</v>
      </c>
      <c r="AO45" s="5">
        <f t="shared" si="38"/>
        <v>77</v>
      </c>
      <c r="AP45" s="48">
        <f t="shared" si="28"/>
        <v>0</v>
      </c>
      <c r="AQ45" s="166">
        <f t="shared" si="39"/>
        <v>0</v>
      </c>
    </row>
    <row r="46" spans="1:43" x14ac:dyDescent="0.25">
      <c r="A46" s="88">
        <v>5</v>
      </c>
      <c r="B46" s="86">
        <f>32+25+39</f>
        <v>96</v>
      </c>
      <c r="C46" s="5">
        <f>19+7+19</f>
        <v>45</v>
      </c>
      <c r="D46" s="5">
        <f t="shared" si="29"/>
        <v>141</v>
      </c>
      <c r="E46" s="6">
        <f t="shared" si="20"/>
        <v>0.46875</v>
      </c>
      <c r="F46" s="5">
        <f>6+34+18</f>
        <v>58</v>
      </c>
      <c r="G46" s="5">
        <v>0</v>
      </c>
      <c r="H46" s="5">
        <f t="shared" si="30"/>
        <v>58</v>
      </c>
      <c r="I46" s="27">
        <f t="shared" si="31"/>
        <v>0</v>
      </c>
      <c r="J46" s="166">
        <f t="shared" si="21"/>
        <v>0</v>
      </c>
      <c r="L46" s="88">
        <v>7</v>
      </c>
      <c r="M46" s="86">
        <f>9+21+27</f>
        <v>57</v>
      </c>
      <c r="N46" s="5">
        <f>1+3+16+33</f>
        <v>53</v>
      </c>
      <c r="O46" s="5">
        <f t="shared" si="32"/>
        <v>110</v>
      </c>
      <c r="P46" s="27">
        <f t="shared" si="22"/>
        <v>0.92982456140350878</v>
      </c>
      <c r="Q46" s="80">
        <f>11+4</f>
        <v>15</v>
      </c>
      <c r="R46" s="46">
        <f>9+5</f>
        <v>14</v>
      </c>
      <c r="S46" s="5">
        <f t="shared" si="33"/>
        <v>29</v>
      </c>
      <c r="T46" s="48">
        <f t="shared" si="23"/>
        <v>0.93333333333333335</v>
      </c>
      <c r="U46" s="171">
        <f t="shared" si="24"/>
        <v>1.0037735849056604</v>
      </c>
      <c r="W46" s="82">
        <v>7</v>
      </c>
      <c r="X46" s="46">
        <f>53+53</f>
        <v>106</v>
      </c>
      <c r="Y46" s="46">
        <f>25+43</f>
        <v>68</v>
      </c>
      <c r="Z46" s="5">
        <f t="shared" si="34"/>
        <v>174</v>
      </c>
      <c r="AA46" s="48">
        <f t="shared" si="25"/>
        <v>0.64150943396226412</v>
      </c>
      <c r="AB46" s="46">
        <f>15+34+1</f>
        <v>50</v>
      </c>
      <c r="AC46" s="46">
        <v>0</v>
      </c>
      <c r="AD46" s="5">
        <f t="shared" si="35"/>
        <v>50</v>
      </c>
      <c r="AE46" s="47">
        <f t="shared" si="26"/>
        <v>0</v>
      </c>
      <c r="AF46" s="166">
        <f t="shared" si="36"/>
        <v>0</v>
      </c>
      <c r="AH46" s="82">
        <v>4</v>
      </c>
      <c r="AI46" s="46">
        <f>31+29+20+32</f>
        <v>112</v>
      </c>
      <c r="AJ46" s="46">
        <f>5+6+16</f>
        <v>27</v>
      </c>
      <c r="AK46" s="5">
        <f t="shared" si="37"/>
        <v>139</v>
      </c>
      <c r="AL46" s="47">
        <f t="shared" si="27"/>
        <v>0.24107142857142858</v>
      </c>
      <c r="AM46" s="80">
        <f>27+69+10</f>
        <v>106</v>
      </c>
      <c r="AN46" s="46">
        <v>0</v>
      </c>
      <c r="AO46" s="5">
        <f t="shared" si="38"/>
        <v>106</v>
      </c>
      <c r="AP46" s="48">
        <f t="shared" si="28"/>
        <v>0</v>
      </c>
      <c r="AQ46" s="166">
        <f t="shared" si="39"/>
        <v>0</v>
      </c>
    </row>
    <row r="47" spans="1:43" x14ac:dyDescent="0.25">
      <c r="A47" s="88">
        <v>6</v>
      </c>
      <c r="B47" s="86">
        <f>24+7+30</f>
        <v>61</v>
      </c>
      <c r="C47" s="5">
        <f>15+4+20</f>
        <v>39</v>
      </c>
      <c r="D47" s="5">
        <f t="shared" si="29"/>
        <v>100</v>
      </c>
      <c r="E47" s="6">
        <f t="shared" si="20"/>
        <v>0.63934426229508201</v>
      </c>
      <c r="F47" s="5">
        <f>9+30+9</f>
        <v>48</v>
      </c>
      <c r="G47" s="5">
        <v>1</v>
      </c>
      <c r="H47" s="5">
        <f t="shared" si="30"/>
        <v>49</v>
      </c>
      <c r="I47" s="27">
        <f t="shared" si="31"/>
        <v>2.0833333333333332E-2</v>
      </c>
      <c r="J47" s="166">
        <f t="shared" si="21"/>
        <v>3.2585470085470081E-2</v>
      </c>
      <c r="L47" s="88">
        <v>2</v>
      </c>
      <c r="M47" s="86">
        <f>37+26+22</f>
        <v>85</v>
      </c>
      <c r="N47" s="5">
        <f>30+13+11</f>
        <v>54</v>
      </c>
      <c r="O47" s="5">
        <f t="shared" si="32"/>
        <v>139</v>
      </c>
      <c r="P47" s="27">
        <f t="shared" si="22"/>
        <v>0.63529411764705879</v>
      </c>
      <c r="Q47" s="80">
        <f>34+5</f>
        <v>39</v>
      </c>
      <c r="R47" s="46">
        <f>15+4</f>
        <v>19</v>
      </c>
      <c r="S47" s="5">
        <f t="shared" si="33"/>
        <v>58</v>
      </c>
      <c r="T47" s="48">
        <f t="shared" si="23"/>
        <v>0.48717948717948717</v>
      </c>
      <c r="U47" s="171">
        <f t="shared" si="24"/>
        <v>0.76685660018993351</v>
      </c>
      <c r="W47" s="82">
        <v>8</v>
      </c>
      <c r="X47" s="46">
        <f>42+70</f>
        <v>112</v>
      </c>
      <c r="Y47" s="46">
        <f>22+27</f>
        <v>49</v>
      </c>
      <c r="Z47" s="5">
        <f t="shared" si="34"/>
        <v>161</v>
      </c>
      <c r="AA47" s="48">
        <f>Y47/X47</f>
        <v>0.4375</v>
      </c>
      <c r="AB47" s="46">
        <f>23+5</f>
        <v>28</v>
      </c>
      <c r="AC47" s="46">
        <v>0</v>
      </c>
      <c r="AD47" s="5">
        <f t="shared" si="35"/>
        <v>28</v>
      </c>
      <c r="AE47" s="47">
        <f t="shared" si="26"/>
        <v>0</v>
      </c>
      <c r="AF47" s="166">
        <f t="shared" si="36"/>
        <v>0</v>
      </c>
      <c r="AH47" s="82">
        <v>6</v>
      </c>
      <c r="AI47" s="46">
        <f>13+52+20+13</f>
        <v>98</v>
      </c>
      <c r="AJ47" s="46">
        <f>3+6+14+11</f>
        <v>34</v>
      </c>
      <c r="AK47" s="5">
        <f t="shared" si="37"/>
        <v>132</v>
      </c>
      <c r="AL47" s="47">
        <f t="shared" si="27"/>
        <v>0.34693877551020408</v>
      </c>
      <c r="AM47" s="80">
        <f>11+75+5</f>
        <v>91</v>
      </c>
      <c r="AN47" s="46">
        <v>1</v>
      </c>
      <c r="AO47" s="5">
        <f t="shared" si="38"/>
        <v>92</v>
      </c>
      <c r="AP47" s="48">
        <f t="shared" si="28"/>
        <v>1.098901098901099E-2</v>
      </c>
      <c r="AQ47" s="166">
        <f t="shared" si="39"/>
        <v>3.1674208144796386E-2</v>
      </c>
    </row>
    <row r="48" spans="1:43" x14ac:dyDescent="0.25">
      <c r="A48" s="88">
        <v>7</v>
      </c>
      <c r="B48" s="86">
        <f>22+18+38</f>
        <v>78</v>
      </c>
      <c r="C48" s="5">
        <f>19+11+22</f>
        <v>52</v>
      </c>
      <c r="D48" s="5">
        <f t="shared" si="29"/>
        <v>130</v>
      </c>
      <c r="E48" s="6">
        <f t="shared" si="20"/>
        <v>0.66666666666666663</v>
      </c>
      <c r="F48" s="5">
        <f>7+27+6</f>
        <v>40</v>
      </c>
      <c r="G48" s="5">
        <v>0</v>
      </c>
      <c r="H48" s="5">
        <f t="shared" si="30"/>
        <v>40</v>
      </c>
      <c r="I48" s="27">
        <f t="shared" si="31"/>
        <v>0</v>
      </c>
      <c r="J48" s="166">
        <f t="shared" si="21"/>
        <v>0</v>
      </c>
      <c r="L48" s="88">
        <v>6</v>
      </c>
      <c r="M48" s="86">
        <f>21+23+31</f>
        <v>75</v>
      </c>
      <c r="N48" s="5">
        <f>11+21+13</f>
        <v>45</v>
      </c>
      <c r="O48" s="5">
        <f t="shared" si="32"/>
        <v>120</v>
      </c>
      <c r="P48" s="27">
        <f t="shared" si="22"/>
        <v>0.6</v>
      </c>
      <c r="Q48" s="80">
        <f>21+15</f>
        <v>36</v>
      </c>
      <c r="R48" s="46">
        <f>15</f>
        <v>15</v>
      </c>
      <c r="S48" s="5">
        <f t="shared" si="33"/>
        <v>51</v>
      </c>
      <c r="T48" s="48">
        <f t="shared" si="23"/>
        <v>0.41666666666666669</v>
      </c>
      <c r="U48" s="171">
        <f t="shared" si="24"/>
        <v>0.69444444444444453</v>
      </c>
      <c r="W48" s="82">
        <v>9</v>
      </c>
      <c r="X48" s="46">
        <f>49+46</f>
        <v>95</v>
      </c>
      <c r="Y48" s="46">
        <f>18+24</f>
        <v>42</v>
      </c>
      <c r="Z48" s="5">
        <f t="shared" si="34"/>
        <v>137</v>
      </c>
      <c r="AA48" s="48">
        <f>Y48/X48</f>
        <v>0.44210526315789472</v>
      </c>
      <c r="AB48" s="46">
        <f>22+27+1</f>
        <v>50</v>
      </c>
      <c r="AC48" s="46">
        <v>0</v>
      </c>
      <c r="AD48" s="5">
        <f t="shared" si="35"/>
        <v>50</v>
      </c>
      <c r="AE48" s="47">
        <f t="shared" si="26"/>
        <v>0</v>
      </c>
      <c r="AF48" s="166">
        <f t="shared" si="36"/>
        <v>0</v>
      </c>
      <c r="AH48" s="82">
        <v>7</v>
      </c>
      <c r="AI48" s="46">
        <f>26+53+14+15</f>
        <v>108</v>
      </c>
      <c r="AJ48" s="46">
        <f>3+3+3+8</f>
        <v>17</v>
      </c>
      <c r="AK48" s="5">
        <f t="shared" si="37"/>
        <v>125</v>
      </c>
      <c r="AL48" s="47">
        <f t="shared" si="27"/>
        <v>0.15740740740740741</v>
      </c>
      <c r="AM48" s="80">
        <f>20+48+1</f>
        <v>69</v>
      </c>
      <c r="AN48" s="46">
        <v>0</v>
      </c>
      <c r="AO48" s="5">
        <f t="shared" si="38"/>
        <v>69</v>
      </c>
      <c r="AP48" s="48">
        <f t="shared" si="28"/>
        <v>0</v>
      </c>
      <c r="AQ48" s="166">
        <f t="shared" si="39"/>
        <v>0</v>
      </c>
    </row>
    <row r="49" spans="1:43" x14ac:dyDescent="0.25">
      <c r="A49" s="88">
        <v>8</v>
      </c>
      <c r="B49" s="86">
        <f>36+20+39</f>
        <v>95</v>
      </c>
      <c r="C49" s="5">
        <f>10+4+32</f>
        <v>46</v>
      </c>
      <c r="D49" s="5">
        <f t="shared" si="29"/>
        <v>141</v>
      </c>
      <c r="E49" s="6">
        <f>C49/B49</f>
        <v>0.48421052631578948</v>
      </c>
      <c r="F49" s="5">
        <f>4+10+8</f>
        <v>22</v>
      </c>
      <c r="G49" s="5">
        <v>0</v>
      </c>
      <c r="H49" s="5">
        <f t="shared" si="30"/>
        <v>22</v>
      </c>
      <c r="I49" s="27">
        <f t="shared" si="31"/>
        <v>0</v>
      </c>
      <c r="J49" s="166">
        <f t="shared" si="21"/>
        <v>0</v>
      </c>
      <c r="L49" s="88">
        <v>6</v>
      </c>
      <c r="M49" s="86">
        <f>5+16+23+41</f>
        <v>85</v>
      </c>
      <c r="N49" s="5">
        <f>10+3+12+30</f>
        <v>55</v>
      </c>
      <c r="O49" s="5">
        <f t="shared" si="32"/>
        <v>140</v>
      </c>
      <c r="P49" s="27">
        <f t="shared" si="22"/>
        <v>0.6470588235294118</v>
      </c>
      <c r="Q49" s="80">
        <f>37+29</f>
        <v>66</v>
      </c>
      <c r="R49" s="46">
        <f>16+13</f>
        <v>29</v>
      </c>
      <c r="S49" s="5">
        <f t="shared" si="33"/>
        <v>95</v>
      </c>
      <c r="T49" s="48">
        <f t="shared" si="23"/>
        <v>0.43939393939393939</v>
      </c>
      <c r="U49" s="171">
        <f t="shared" si="24"/>
        <v>0.67906336088154262</v>
      </c>
      <c r="W49" s="82">
        <v>10</v>
      </c>
      <c r="X49" s="46">
        <f>38+51</f>
        <v>89</v>
      </c>
      <c r="Y49" s="46">
        <f>22+18</f>
        <v>40</v>
      </c>
      <c r="Z49" s="5">
        <f t="shared" si="34"/>
        <v>129</v>
      </c>
      <c r="AA49" s="48">
        <f>Y49/X49</f>
        <v>0.449438202247191</v>
      </c>
      <c r="AB49" s="46">
        <f>16+36+1</f>
        <v>53</v>
      </c>
      <c r="AC49" s="46">
        <v>0</v>
      </c>
      <c r="AD49" s="5">
        <f t="shared" si="35"/>
        <v>53</v>
      </c>
      <c r="AE49" s="47">
        <f t="shared" si="26"/>
        <v>0</v>
      </c>
      <c r="AF49" s="166">
        <f t="shared" si="36"/>
        <v>0</v>
      </c>
      <c r="AH49" s="82">
        <v>8</v>
      </c>
      <c r="AI49" s="46">
        <f>25+38+13+27</f>
        <v>103</v>
      </c>
      <c r="AJ49" s="46">
        <f>2+1+6</f>
        <v>9</v>
      </c>
      <c r="AK49" s="5">
        <f t="shared" si="37"/>
        <v>112</v>
      </c>
      <c r="AL49" s="47">
        <f t="shared" si="27"/>
        <v>8.7378640776699032E-2</v>
      </c>
      <c r="AM49" s="80">
        <f>16+52</f>
        <v>68</v>
      </c>
      <c r="AN49" s="46">
        <v>0</v>
      </c>
      <c r="AO49" s="5">
        <f t="shared" si="38"/>
        <v>68</v>
      </c>
      <c r="AP49" s="48">
        <f t="shared" si="28"/>
        <v>0</v>
      </c>
      <c r="AQ49" s="166">
        <f t="shared" si="39"/>
        <v>0</v>
      </c>
    </row>
    <row r="50" spans="1:43" x14ac:dyDescent="0.25">
      <c r="A50" s="88">
        <v>9</v>
      </c>
      <c r="B50" s="86">
        <f>29+17+26</f>
        <v>72</v>
      </c>
      <c r="C50" s="5">
        <f>19+10+18</f>
        <v>47</v>
      </c>
      <c r="D50" s="5">
        <f t="shared" si="29"/>
        <v>119</v>
      </c>
      <c r="E50" s="6">
        <f>C50/B50</f>
        <v>0.65277777777777779</v>
      </c>
      <c r="F50" s="5">
        <f>5+34+11</f>
        <v>50</v>
      </c>
      <c r="G50" s="5">
        <v>0</v>
      </c>
      <c r="H50" s="5">
        <f t="shared" si="30"/>
        <v>50</v>
      </c>
      <c r="I50" s="27">
        <f t="shared" si="31"/>
        <v>0</v>
      </c>
      <c r="J50" s="166">
        <f t="shared" si="21"/>
        <v>0</v>
      </c>
      <c r="L50" s="88">
        <v>2</v>
      </c>
      <c r="M50" s="86">
        <f>9+14+14+45</f>
        <v>82</v>
      </c>
      <c r="N50" s="5">
        <f>10+16+10+20</f>
        <v>56</v>
      </c>
      <c r="O50" s="5">
        <f t="shared" si="32"/>
        <v>138</v>
      </c>
      <c r="P50" s="27">
        <f t="shared" si="22"/>
        <v>0.68292682926829273</v>
      </c>
      <c r="Q50" s="80">
        <f>37+12</f>
        <v>49</v>
      </c>
      <c r="R50" s="46">
        <f>15+7</f>
        <v>22</v>
      </c>
      <c r="S50" s="5">
        <f t="shared" si="33"/>
        <v>71</v>
      </c>
      <c r="T50" s="48">
        <f t="shared" si="23"/>
        <v>0.44897959183673469</v>
      </c>
      <c r="U50" s="171">
        <f t="shared" si="24"/>
        <v>0.6574344023323615</v>
      </c>
      <c r="W50" s="82">
        <v>2</v>
      </c>
      <c r="X50" s="46">
        <f>21+22+8</f>
        <v>51</v>
      </c>
      <c r="Y50" s="46">
        <f>10+19+5</f>
        <v>34</v>
      </c>
      <c r="Z50" s="5">
        <f t="shared" si="34"/>
        <v>85</v>
      </c>
      <c r="AA50" s="48">
        <f t="shared" ref="AA50:AA52" si="40">Y50/X50</f>
        <v>0.66666666666666663</v>
      </c>
      <c r="AB50" s="46">
        <f>79+12</f>
        <v>91</v>
      </c>
      <c r="AC50" s="46">
        <v>0</v>
      </c>
      <c r="AD50" s="5">
        <f t="shared" si="35"/>
        <v>91</v>
      </c>
      <c r="AE50" s="47">
        <f t="shared" si="26"/>
        <v>0</v>
      </c>
      <c r="AF50" s="166">
        <f t="shared" si="36"/>
        <v>0</v>
      </c>
      <c r="AH50" s="82">
        <v>9</v>
      </c>
      <c r="AI50" s="46">
        <f>25+43+15+20</f>
        <v>103</v>
      </c>
      <c r="AJ50" s="46">
        <f>3+1+2+2</f>
        <v>8</v>
      </c>
      <c r="AK50" s="5">
        <f t="shared" si="37"/>
        <v>111</v>
      </c>
      <c r="AL50" s="47">
        <f t="shared" si="27"/>
        <v>7.7669902912621352E-2</v>
      </c>
      <c r="AM50" s="80">
        <f>27+32+3</f>
        <v>62</v>
      </c>
      <c r="AN50" s="46">
        <v>0</v>
      </c>
      <c r="AO50" s="5">
        <f t="shared" si="38"/>
        <v>62</v>
      </c>
      <c r="AP50" s="48">
        <f t="shared" si="28"/>
        <v>0</v>
      </c>
      <c r="AQ50" s="166">
        <f t="shared" si="39"/>
        <v>0</v>
      </c>
    </row>
    <row r="51" spans="1:43" x14ac:dyDescent="0.25">
      <c r="A51" s="88">
        <v>10</v>
      </c>
      <c r="B51" s="86">
        <f>33+10+42</f>
        <v>85</v>
      </c>
      <c r="C51" s="5">
        <f>13+12+13</f>
        <v>38</v>
      </c>
      <c r="D51" s="5">
        <f t="shared" si="29"/>
        <v>123</v>
      </c>
      <c r="E51" s="6">
        <f>C51/B51</f>
        <v>0.44705882352941179</v>
      </c>
      <c r="F51" s="5">
        <f>6+37+4</f>
        <v>47</v>
      </c>
      <c r="G51" s="5">
        <v>0</v>
      </c>
      <c r="H51" s="5">
        <f t="shared" si="30"/>
        <v>47</v>
      </c>
      <c r="I51" s="27">
        <f t="shared" si="31"/>
        <v>0</v>
      </c>
      <c r="J51" s="166">
        <f t="shared" si="21"/>
        <v>0</v>
      </c>
      <c r="L51" s="88">
        <v>4</v>
      </c>
      <c r="M51" s="86">
        <f>36+50</f>
        <v>86</v>
      </c>
      <c r="N51" s="5">
        <f>21+33</f>
        <v>54</v>
      </c>
      <c r="O51" s="5">
        <f t="shared" si="32"/>
        <v>140</v>
      </c>
      <c r="P51" s="27">
        <f t="shared" si="22"/>
        <v>0.62790697674418605</v>
      </c>
      <c r="Q51" s="80">
        <f>60+10+3</f>
        <v>73</v>
      </c>
      <c r="R51" s="46">
        <f>23+2+4</f>
        <v>29</v>
      </c>
      <c r="S51" s="5">
        <f t="shared" si="33"/>
        <v>102</v>
      </c>
      <c r="T51" s="48">
        <f t="shared" si="23"/>
        <v>0.39726027397260272</v>
      </c>
      <c r="U51" s="171">
        <f t="shared" si="24"/>
        <v>0.63267376966007094</v>
      </c>
      <c r="W51" s="82">
        <v>5</v>
      </c>
      <c r="X51" s="46">
        <f>18+42+10</f>
        <v>70</v>
      </c>
      <c r="Y51" s="46">
        <f>7+27+8</f>
        <v>42</v>
      </c>
      <c r="Z51" s="5">
        <f t="shared" si="34"/>
        <v>112</v>
      </c>
      <c r="AA51" s="48">
        <f t="shared" si="40"/>
        <v>0.6</v>
      </c>
      <c r="AB51" s="46">
        <f>35</f>
        <v>35</v>
      </c>
      <c r="AC51" s="46">
        <v>0</v>
      </c>
      <c r="AD51" s="5">
        <f t="shared" si="35"/>
        <v>35</v>
      </c>
      <c r="AE51" s="47">
        <f t="shared" si="26"/>
        <v>0</v>
      </c>
      <c r="AF51" s="166">
        <f t="shared" si="36"/>
        <v>0</v>
      </c>
      <c r="AH51" s="82">
        <v>10</v>
      </c>
      <c r="AI51" s="46">
        <f>19+32+15+16</f>
        <v>82</v>
      </c>
      <c r="AJ51" s="46">
        <f>4+2+8+9</f>
        <v>23</v>
      </c>
      <c r="AK51" s="5">
        <f t="shared" si="37"/>
        <v>105</v>
      </c>
      <c r="AL51" s="47">
        <f t="shared" si="27"/>
        <v>0.28048780487804881</v>
      </c>
      <c r="AM51" s="80">
        <f>13+35+11</f>
        <v>59</v>
      </c>
      <c r="AN51" s="46">
        <v>0</v>
      </c>
      <c r="AO51" s="5">
        <f t="shared" si="38"/>
        <v>59</v>
      </c>
      <c r="AP51" s="48">
        <f t="shared" si="28"/>
        <v>0</v>
      </c>
      <c r="AQ51" s="166">
        <f t="shared" si="39"/>
        <v>0</v>
      </c>
    </row>
    <row r="52" spans="1:43" x14ac:dyDescent="0.25">
      <c r="A52" s="88">
        <v>1</v>
      </c>
      <c r="B52" s="86">
        <f>25+18+21</f>
        <v>64</v>
      </c>
      <c r="C52" s="5">
        <f>4+11+17</f>
        <v>32</v>
      </c>
      <c r="D52" s="5">
        <f t="shared" si="29"/>
        <v>96</v>
      </c>
      <c r="E52" s="6">
        <f t="shared" ref="E52:E56" si="41">C52/B52</f>
        <v>0.5</v>
      </c>
      <c r="F52" s="5">
        <f>46+13</f>
        <v>59</v>
      </c>
      <c r="G52" s="5">
        <v>0</v>
      </c>
      <c r="H52" s="5">
        <f t="shared" si="30"/>
        <v>59</v>
      </c>
      <c r="I52" s="27">
        <f>G52/F52</f>
        <v>0</v>
      </c>
      <c r="J52" s="166">
        <f t="shared" si="21"/>
        <v>0</v>
      </c>
      <c r="L52" s="88">
        <v>8</v>
      </c>
      <c r="M52" s="86">
        <f>2+17+29+39</f>
        <v>87</v>
      </c>
      <c r="N52" s="5">
        <f>3+9+10+30</f>
        <v>52</v>
      </c>
      <c r="O52" s="5">
        <f t="shared" si="32"/>
        <v>139</v>
      </c>
      <c r="P52" s="27">
        <f t="shared" si="22"/>
        <v>0.5977011494252874</v>
      </c>
      <c r="Q52" s="80">
        <f>57+19</f>
        <v>76</v>
      </c>
      <c r="R52" s="46">
        <f>15+13</f>
        <v>28</v>
      </c>
      <c r="S52" s="5">
        <f t="shared" si="33"/>
        <v>104</v>
      </c>
      <c r="T52" s="48">
        <f t="shared" si="23"/>
        <v>0.36842105263157893</v>
      </c>
      <c r="U52" s="171">
        <f t="shared" si="24"/>
        <v>0.6163967611336032</v>
      </c>
      <c r="W52" s="82">
        <v>6</v>
      </c>
      <c r="X52" s="46">
        <f>26+31+19</f>
        <v>76</v>
      </c>
      <c r="Y52" s="46">
        <f>3+15+2</f>
        <v>20</v>
      </c>
      <c r="Z52" s="5">
        <f t="shared" si="34"/>
        <v>96</v>
      </c>
      <c r="AA52" s="48">
        <f t="shared" si="40"/>
        <v>0.26315789473684209</v>
      </c>
      <c r="AB52" s="46">
        <f>30</f>
        <v>30</v>
      </c>
      <c r="AC52" s="46">
        <v>0</v>
      </c>
      <c r="AD52" s="5">
        <f t="shared" si="35"/>
        <v>30</v>
      </c>
      <c r="AE52" s="47">
        <f t="shared" si="26"/>
        <v>0</v>
      </c>
      <c r="AF52" s="166">
        <f t="shared" si="36"/>
        <v>0</v>
      </c>
      <c r="AH52" s="82">
        <v>2</v>
      </c>
      <c r="AI52" s="46">
        <f>53+26+25</f>
        <v>104</v>
      </c>
      <c r="AJ52" s="46">
        <f>4+14+7</f>
        <v>25</v>
      </c>
      <c r="AK52" s="5">
        <f t="shared" si="37"/>
        <v>129</v>
      </c>
      <c r="AL52" s="47">
        <f t="shared" si="27"/>
        <v>0.24038461538461539</v>
      </c>
      <c r="AM52" s="80">
        <f>37+11</f>
        <v>48</v>
      </c>
      <c r="AN52" s="46">
        <v>0</v>
      </c>
      <c r="AO52" s="5">
        <f t="shared" si="38"/>
        <v>48</v>
      </c>
      <c r="AP52" s="48">
        <f t="shared" si="28"/>
        <v>0</v>
      </c>
      <c r="AQ52" s="166">
        <f t="shared" si="39"/>
        <v>0</v>
      </c>
    </row>
    <row r="53" spans="1:43" x14ac:dyDescent="0.25">
      <c r="A53" s="88">
        <v>2</v>
      </c>
      <c r="B53" s="86">
        <f>44+15+45</f>
        <v>104</v>
      </c>
      <c r="C53" s="5">
        <f>11+10+20</f>
        <v>41</v>
      </c>
      <c r="D53" s="5">
        <f t="shared" si="29"/>
        <v>145</v>
      </c>
      <c r="E53" s="6">
        <f t="shared" si="41"/>
        <v>0.39423076923076922</v>
      </c>
      <c r="F53" s="5">
        <f>18+9</f>
        <v>27</v>
      </c>
      <c r="G53" s="5">
        <v>0</v>
      </c>
      <c r="H53" s="5">
        <f t="shared" si="30"/>
        <v>27</v>
      </c>
      <c r="I53" s="27">
        <f t="shared" ref="I53:I58" si="42">G53/F53</f>
        <v>0</v>
      </c>
      <c r="J53" s="166">
        <f t="shared" si="21"/>
        <v>0</v>
      </c>
      <c r="L53" s="88">
        <v>4</v>
      </c>
      <c r="M53" s="86">
        <f>13+26+17+27</f>
        <v>83</v>
      </c>
      <c r="N53" s="5">
        <f>5+5+13+24</f>
        <v>47</v>
      </c>
      <c r="O53" s="5">
        <f t="shared" si="32"/>
        <v>130</v>
      </c>
      <c r="P53" s="27">
        <f t="shared" si="22"/>
        <v>0.5662650602409639</v>
      </c>
      <c r="Q53" s="80">
        <f>70+14</f>
        <v>84</v>
      </c>
      <c r="R53" s="46">
        <f>21+8</f>
        <v>29</v>
      </c>
      <c r="S53" s="5">
        <f t="shared" si="33"/>
        <v>113</v>
      </c>
      <c r="T53" s="48">
        <f t="shared" si="23"/>
        <v>0.34523809523809523</v>
      </c>
      <c r="U53" s="171">
        <f t="shared" si="24"/>
        <v>0.60967578520770005</v>
      </c>
      <c r="W53" s="82">
        <v>8</v>
      </c>
      <c r="X53" s="46">
        <f>10+33+6</f>
        <v>49</v>
      </c>
      <c r="Y53" s="46">
        <f>2+26+2</f>
        <v>30</v>
      </c>
      <c r="Z53" s="5">
        <f t="shared" si="34"/>
        <v>79</v>
      </c>
      <c r="AA53" s="48">
        <f>Y53/X53</f>
        <v>0.61224489795918369</v>
      </c>
      <c r="AB53" s="46">
        <f>27</f>
        <v>27</v>
      </c>
      <c r="AC53" s="46">
        <v>0</v>
      </c>
      <c r="AD53" s="5">
        <f t="shared" si="35"/>
        <v>27</v>
      </c>
      <c r="AE53" s="47">
        <f t="shared" si="26"/>
        <v>0</v>
      </c>
      <c r="AF53" s="166">
        <f t="shared" si="36"/>
        <v>0</v>
      </c>
      <c r="AH53" s="83">
        <v>3</v>
      </c>
      <c r="AI53" s="46">
        <f>19+22+23</f>
        <v>64</v>
      </c>
      <c r="AJ53" s="46">
        <f>2</f>
        <v>2</v>
      </c>
      <c r="AK53" s="5">
        <f t="shared" si="37"/>
        <v>66</v>
      </c>
      <c r="AL53" s="47">
        <f t="shared" si="27"/>
        <v>3.125E-2</v>
      </c>
      <c r="AM53" s="80">
        <f>45+20</f>
        <v>65</v>
      </c>
      <c r="AN53" s="46">
        <v>0</v>
      </c>
      <c r="AO53" s="5">
        <f t="shared" si="38"/>
        <v>65</v>
      </c>
      <c r="AP53" s="48">
        <f t="shared" si="28"/>
        <v>0</v>
      </c>
      <c r="AQ53" s="166">
        <f t="shared" si="39"/>
        <v>0</v>
      </c>
    </row>
    <row r="54" spans="1:43" x14ac:dyDescent="0.25">
      <c r="A54" s="88">
        <v>4</v>
      </c>
      <c r="B54" s="86">
        <f>38+8+32</f>
        <v>78</v>
      </c>
      <c r="C54" s="5">
        <f>11+10+26</f>
        <v>47</v>
      </c>
      <c r="D54" s="5">
        <f t="shared" si="29"/>
        <v>125</v>
      </c>
      <c r="E54" s="6">
        <f t="shared" si="41"/>
        <v>0.60256410256410253</v>
      </c>
      <c r="F54" s="5">
        <f>37+10</f>
        <v>47</v>
      </c>
      <c r="G54" s="5">
        <v>0</v>
      </c>
      <c r="H54" s="5">
        <f t="shared" si="30"/>
        <v>47</v>
      </c>
      <c r="I54" s="27">
        <f t="shared" si="42"/>
        <v>0</v>
      </c>
      <c r="J54" s="166">
        <f t="shared" si="21"/>
        <v>0</v>
      </c>
      <c r="L54" s="88">
        <v>9</v>
      </c>
      <c r="M54" s="86">
        <f>44+14+19</f>
        <v>77</v>
      </c>
      <c r="N54" s="5">
        <f>30+2+8</f>
        <v>40</v>
      </c>
      <c r="O54" s="5">
        <f t="shared" si="32"/>
        <v>117</v>
      </c>
      <c r="P54" s="27">
        <f t="shared" si="22"/>
        <v>0.51948051948051943</v>
      </c>
      <c r="Q54" s="80">
        <f>5+24+15</f>
        <v>44</v>
      </c>
      <c r="R54" s="46">
        <f>4+5+4</f>
        <v>13</v>
      </c>
      <c r="S54" s="5">
        <f t="shared" si="33"/>
        <v>57</v>
      </c>
      <c r="T54" s="48">
        <f t="shared" si="23"/>
        <v>0.29545454545454547</v>
      </c>
      <c r="U54" s="171">
        <f t="shared" si="24"/>
        <v>0.56875000000000009</v>
      </c>
      <c r="W54" s="82">
        <v>10</v>
      </c>
      <c r="X54" s="46">
        <f>9+38+13</f>
        <v>60</v>
      </c>
      <c r="Y54" s="46">
        <f>3+24+8</f>
        <v>35</v>
      </c>
      <c r="Z54" s="5">
        <f t="shared" si="34"/>
        <v>95</v>
      </c>
      <c r="AA54" s="48">
        <f>Y54/X54</f>
        <v>0.58333333333333337</v>
      </c>
      <c r="AB54" s="46">
        <f>56</f>
        <v>56</v>
      </c>
      <c r="AC54" s="46">
        <v>0</v>
      </c>
      <c r="AD54" s="5">
        <f t="shared" si="35"/>
        <v>56</v>
      </c>
      <c r="AE54" s="47">
        <f t="shared" si="26"/>
        <v>0</v>
      </c>
      <c r="AF54" s="166">
        <f t="shared" si="36"/>
        <v>0</v>
      </c>
      <c r="AH54" s="82">
        <v>4</v>
      </c>
      <c r="AI54" s="46">
        <f>34+32+27</f>
        <v>93</v>
      </c>
      <c r="AJ54" s="46">
        <f>1+2+4</f>
        <v>7</v>
      </c>
      <c r="AK54" s="5">
        <f t="shared" si="37"/>
        <v>100</v>
      </c>
      <c r="AL54" s="47">
        <f t="shared" si="27"/>
        <v>7.5268817204301078E-2</v>
      </c>
      <c r="AM54" s="80">
        <f>41+10</f>
        <v>51</v>
      </c>
      <c r="AN54" s="46">
        <v>0</v>
      </c>
      <c r="AO54" s="5">
        <f t="shared" si="38"/>
        <v>51</v>
      </c>
      <c r="AP54" s="48">
        <f t="shared" si="28"/>
        <v>0</v>
      </c>
      <c r="AQ54" s="166">
        <f t="shared" si="39"/>
        <v>0</v>
      </c>
    </row>
    <row r="55" spans="1:43" x14ac:dyDescent="0.25">
      <c r="A55" s="88">
        <v>5</v>
      </c>
      <c r="B55" s="86">
        <f>14+21+42</f>
        <v>77</v>
      </c>
      <c r="C55" s="5">
        <f>5+6+21</f>
        <v>32</v>
      </c>
      <c r="D55" s="5">
        <f t="shared" si="29"/>
        <v>109</v>
      </c>
      <c r="E55" s="6">
        <f t="shared" si="41"/>
        <v>0.41558441558441561</v>
      </c>
      <c r="F55" s="5">
        <f>25</f>
        <v>25</v>
      </c>
      <c r="G55" s="5">
        <v>0</v>
      </c>
      <c r="H55" s="5">
        <f t="shared" si="30"/>
        <v>25</v>
      </c>
      <c r="I55" s="27">
        <f t="shared" si="42"/>
        <v>0</v>
      </c>
      <c r="J55" s="166">
        <f t="shared" si="21"/>
        <v>0</v>
      </c>
      <c r="L55" s="88">
        <v>4</v>
      </c>
      <c r="M55" s="86">
        <f>44+20+7</f>
        <v>71</v>
      </c>
      <c r="N55" s="5">
        <f>16+12+6</f>
        <v>34</v>
      </c>
      <c r="O55" s="5">
        <f t="shared" si="32"/>
        <v>105</v>
      </c>
      <c r="P55" s="27">
        <f t="shared" si="22"/>
        <v>0.47887323943661969</v>
      </c>
      <c r="Q55" s="80">
        <f>31+7</f>
        <v>38</v>
      </c>
      <c r="R55" s="46">
        <f>10</f>
        <v>10</v>
      </c>
      <c r="S55" s="5">
        <f t="shared" si="33"/>
        <v>48</v>
      </c>
      <c r="T55" s="48">
        <f t="shared" si="23"/>
        <v>0.26315789473684209</v>
      </c>
      <c r="U55" s="171">
        <f t="shared" si="24"/>
        <v>0.5495356037151703</v>
      </c>
      <c r="W55" s="82">
        <v>1</v>
      </c>
      <c r="X55" s="46">
        <f>44+23+18</f>
        <v>85</v>
      </c>
      <c r="Y55" s="46">
        <f>19+11+4</f>
        <v>34</v>
      </c>
      <c r="Z55" s="5">
        <f t="shared" si="34"/>
        <v>119</v>
      </c>
      <c r="AA55" s="48">
        <f t="shared" ref="AA55:AA61" si="43">Y55/X55</f>
        <v>0.4</v>
      </c>
      <c r="AB55" s="46">
        <f>12+13+1</f>
        <v>26</v>
      </c>
      <c r="AC55" s="46">
        <f>2</f>
        <v>2</v>
      </c>
      <c r="AD55" s="5">
        <f t="shared" si="35"/>
        <v>28</v>
      </c>
      <c r="AE55" s="47">
        <f>AC55/AB55</f>
        <v>7.6923076923076927E-2</v>
      </c>
      <c r="AF55" s="166">
        <f t="shared" si="36"/>
        <v>0.19230769230769232</v>
      </c>
      <c r="AH55" s="82">
        <v>5</v>
      </c>
      <c r="AI55" s="46">
        <f>36+30+25</f>
        <v>91</v>
      </c>
      <c r="AJ55" s="46">
        <f>7+8+10</f>
        <v>25</v>
      </c>
      <c r="AK55" s="5">
        <f t="shared" si="37"/>
        <v>116</v>
      </c>
      <c r="AL55" s="47">
        <f t="shared" si="27"/>
        <v>0.27472527472527475</v>
      </c>
      <c r="AM55" s="80">
        <f>50+16</f>
        <v>66</v>
      </c>
      <c r="AN55" s="46">
        <v>0</v>
      </c>
      <c r="AO55" s="5">
        <f t="shared" si="38"/>
        <v>66</v>
      </c>
      <c r="AP55" s="48">
        <f t="shared" si="28"/>
        <v>0</v>
      </c>
      <c r="AQ55" s="166">
        <f t="shared" si="39"/>
        <v>0</v>
      </c>
    </row>
    <row r="56" spans="1:43" x14ac:dyDescent="0.25">
      <c r="A56" s="88">
        <v>6</v>
      </c>
      <c r="B56" s="86">
        <f>18+21+50</f>
        <v>89</v>
      </c>
      <c r="C56" s="5">
        <f>6+14+35</f>
        <v>55</v>
      </c>
      <c r="D56" s="5">
        <f t="shared" si="29"/>
        <v>144</v>
      </c>
      <c r="E56" s="6">
        <f t="shared" si="41"/>
        <v>0.6179775280898876</v>
      </c>
      <c r="F56" s="5">
        <f>15+8</f>
        <v>23</v>
      </c>
      <c r="G56" s="5">
        <v>0</v>
      </c>
      <c r="H56" s="5">
        <f t="shared" si="30"/>
        <v>23</v>
      </c>
      <c r="I56" s="27">
        <f t="shared" si="42"/>
        <v>0</v>
      </c>
      <c r="J56" s="166">
        <f t="shared" si="21"/>
        <v>0</v>
      </c>
      <c r="L56" s="83">
        <v>3</v>
      </c>
      <c r="M56" s="86">
        <f>9+21+23+36</f>
        <v>89</v>
      </c>
      <c r="N56" s="5">
        <f>5+5+10+20</f>
        <v>40</v>
      </c>
      <c r="O56" s="5">
        <f t="shared" si="32"/>
        <v>129</v>
      </c>
      <c r="P56" s="27">
        <f t="shared" si="22"/>
        <v>0.449438202247191</v>
      </c>
      <c r="Q56" s="80">
        <f>57+15</f>
        <v>72</v>
      </c>
      <c r="R56" s="46">
        <f>9+8</f>
        <v>17</v>
      </c>
      <c r="S56" s="5">
        <f t="shared" si="33"/>
        <v>89</v>
      </c>
      <c r="T56" s="48">
        <f t="shared" si="23"/>
        <v>0.2361111111111111</v>
      </c>
      <c r="U56" s="171">
        <f t="shared" si="24"/>
        <v>0.52534722222222219</v>
      </c>
      <c r="W56" s="82">
        <v>2</v>
      </c>
      <c r="X56" s="46">
        <f>28+20+3</f>
        <v>51</v>
      </c>
      <c r="Y56" s="46">
        <f>14+9+1</f>
        <v>24</v>
      </c>
      <c r="Z56" s="5">
        <f t="shared" si="34"/>
        <v>75</v>
      </c>
      <c r="AA56" s="48">
        <f t="shared" si="43"/>
        <v>0.47058823529411764</v>
      </c>
      <c r="AB56" s="46">
        <f>22+36+1</f>
        <v>59</v>
      </c>
      <c r="AC56" s="46">
        <v>0</v>
      </c>
      <c r="AD56" s="5">
        <f t="shared" si="35"/>
        <v>59</v>
      </c>
      <c r="AE56" s="47">
        <f t="shared" ref="AE56:AE62" si="44">AC56/AB56</f>
        <v>0</v>
      </c>
      <c r="AF56" s="166">
        <f t="shared" si="36"/>
        <v>0</v>
      </c>
      <c r="AH56" s="82">
        <v>6</v>
      </c>
      <c r="AI56" s="46">
        <f>33+27+19</f>
        <v>79</v>
      </c>
      <c r="AJ56" s="46">
        <f>2+10+9</f>
        <v>21</v>
      </c>
      <c r="AK56" s="5">
        <f t="shared" si="37"/>
        <v>100</v>
      </c>
      <c r="AL56" s="47">
        <f t="shared" si="27"/>
        <v>0.26582278481012656</v>
      </c>
      <c r="AM56" s="80">
        <f>51+17</f>
        <v>68</v>
      </c>
      <c r="AN56" s="46">
        <v>0</v>
      </c>
      <c r="AO56" s="5">
        <f t="shared" si="38"/>
        <v>68</v>
      </c>
      <c r="AP56" s="48">
        <f t="shared" si="28"/>
        <v>0</v>
      </c>
      <c r="AQ56" s="166">
        <f t="shared" si="39"/>
        <v>0</v>
      </c>
    </row>
    <row r="57" spans="1:43" x14ac:dyDescent="0.25">
      <c r="A57" s="88">
        <v>8</v>
      </c>
      <c r="B57" s="86">
        <f>10+15+32</f>
        <v>57</v>
      </c>
      <c r="C57" s="5">
        <f>2+4+20</f>
        <v>26</v>
      </c>
      <c r="D57" s="5">
        <f t="shared" si="29"/>
        <v>83</v>
      </c>
      <c r="E57" s="6">
        <f>C57/B57</f>
        <v>0.45614035087719296</v>
      </c>
      <c r="F57" s="5">
        <f>23</f>
        <v>23</v>
      </c>
      <c r="G57" s="5">
        <v>0</v>
      </c>
      <c r="H57" s="5">
        <f t="shared" si="30"/>
        <v>23</v>
      </c>
      <c r="I57" s="27">
        <f t="shared" si="42"/>
        <v>0</v>
      </c>
      <c r="J57" s="166">
        <f t="shared" si="21"/>
        <v>0</v>
      </c>
      <c r="L57" s="88">
        <v>1</v>
      </c>
      <c r="M57" s="86">
        <f>46+55</f>
        <v>101</v>
      </c>
      <c r="N57" s="5">
        <f>28+28</f>
        <v>56</v>
      </c>
      <c r="O57" s="5">
        <f t="shared" si="32"/>
        <v>157</v>
      </c>
      <c r="P57" s="27">
        <f t="shared" si="22"/>
        <v>0.5544554455445545</v>
      </c>
      <c r="Q57" s="80">
        <f>53+5</f>
        <v>58</v>
      </c>
      <c r="R57" s="46">
        <f>14+2</f>
        <v>16</v>
      </c>
      <c r="S57" s="5">
        <f t="shared" si="33"/>
        <v>74</v>
      </c>
      <c r="T57" s="48">
        <f t="shared" si="23"/>
        <v>0.27586206896551724</v>
      </c>
      <c r="U57" s="171">
        <f t="shared" si="24"/>
        <v>0.49753694581280783</v>
      </c>
      <c r="W57" s="83">
        <v>3</v>
      </c>
      <c r="X57" s="46">
        <f>28+32+14</f>
        <v>74</v>
      </c>
      <c r="Y57" s="46">
        <f>9+27+1</f>
        <v>37</v>
      </c>
      <c r="Z57" s="5">
        <f t="shared" si="34"/>
        <v>111</v>
      </c>
      <c r="AA57" s="48">
        <f t="shared" si="43"/>
        <v>0.5</v>
      </c>
      <c r="AB57" s="46">
        <f>16+6+1</f>
        <v>23</v>
      </c>
      <c r="AC57" s="46">
        <v>0</v>
      </c>
      <c r="AD57" s="5">
        <f t="shared" si="35"/>
        <v>23</v>
      </c>
      <c r="AE57" s="47">
        <f t="shared" si="44"/>
        <v>0</v>
      </c>
      <c r="AF57" s="166">
        <f t="shared" si="36"/>
        <v>0</v>
      </c>
      <c r="AH57" s="82">
        <v>7</v>
      </c>
      <c r="AI57" s="46">
        <f>47+22+34</f>
        <v>103</v>
      </c>
      <c r="AJ57" s="46">
        <f>1+2+7</f>
        <v>10</v>
      </c>
      <c r="AK57" s="5">
        <f t="shared" si="37"/>
        <v>113</v>
      </c>
      <c r="AL57" s="47">
        <f t="shared" si="27"/>
        <v>9.7087378640776698E-2</v>
      </c>
      <c r="AM57" s="80">
        <f>25+3</f>
        <v>28</v>
      </c>
      <c r="AN57" s="46">
        <v>0</v>
      </c>
      <c r="AO57" s="5">
        <f t="shared" si="38"/>
        <v>28</v>
      </c>
      <c r="AP57" s="48">
        <f t="shared" si="28"/>
        <v>0</v>
      </c>
      <c r="AQ57" s="166">
        <f t="shared" si="39"/>
        <v>0</v>
      </c>
    </row>
    <row r="58" spans="1:43" ht="15.75" thickBot="1" x14ac:dyDescent="0.3">
      <c r="A58" s="95">
        <v>9</v>
      </c>
      <c r="B58" s="87">
        <f>33+18+33</f>
        <v>84</v>
      </c>
      <c r="C58" s="13">
        <f>6+11+21</f>
        <v>38</v>
      </c>
      <c r="D58" s="5">
        <f t="shared" si="29"/>
        <v>122</v>
      </c>
      <c r="E58" s="14">
        <f>C58/B58</f>
        <v>0.45238095238095238</v>
      </c>
      <c r="F58" s="13">
        <f>27</f>
        <v>27</v>
      </c>
      <c r="G58" s="13">
        <v>1</v>
      </c>
      <c r="H58" s="5">
        <f t="shared" si="30"/>
        <v>28</v>
      </c>
      <c r="I58" s="34">
        <f t="shared" si="42"/>
        <v>3.7037037037037035E-2</v>
      </c>
      <c r="J58" s="168">
        <f t="shared" si="21"/>
        <v>8.1871345029239762E-2</v>
      </c>
      <c r="L58" s="88">
        <v>9</v>
      </c>
      <c r="M58" s="86">
        <f>47+52</f>
        <v>99</v>
      </c>
      <c r="N58" s="5">
        <f>25+28</f>
        <v>53</v>
      </c>
      <c r="O58" s="5">
        <f t="shared" si="32"/>
        <v>152</v>
      </c>
      <c r="P58" s="27">
        <f t="shared" si="22"/>
        <v>0.53535353535353536</v>
      </c>
      <c r="Q58" s="80">
        <f>60+19+8</f>
        <v>87</v>
      </c>
      <c r="R58" s="46">
        <f>13+7+3</f>
        <v>23</v>
      </c>
      <c r="S58" s="5">
        <f t="shared" si="33"/>
        <v>110</v>
      </c>
      <c r="T58" s="48">
        <f t="shared" si="23"/>
        <v>0.26436781609195403</v>
      </c>
      <c r="U58" s="171">
        <f t="shared" si="24"/>
        <v>0.49381912817176321</v>
      </c>
      <c r="W58" s="82">
        <v>4</v>
      </c>
      <c r="X58" s="46">
        <f>41+28+35</f>
        <v>104</v>
      </c>
      <c r="Y58" s="46">
        <f>13+25+18</f>
        <v>56</v>
      </c>
      <c r="Z58" s="5">
        <f t="shared" si="34"/>
        <v>160</v>
      </c>
      <c r="AA58" s="48">
        <f t="shared" si="43"/>
        <v>0.53846153846153844</v>
      </c>
      <c r="AB58" s="46">
        <f>21+56+23</f>
        <v>100</v>
      </c>
      <c r="AC58" s="46">
        <v>0</v>
      </c>
      <c r="AD58" s="5">
        <f t="shared" si="35"/>
        <v>100</v>
      </c>
      <c r="AE58" s="47">
        <f t="shared" si="44"/>
        <v>0</v>
      </c>
      <c r="AF58" s="166">
        <f t="shared" si="36"/>
        <v>0</v>
      </c>
      <c r="AH58" s="82">
        <v>8</v>
      </c>
      <c r="AI58" s="46">
        <f>30+33+13</f>
        <v>76</v>
      </c>
      <c r="AJ58" s="46">
        <f>1+10+6</f>
        <v>17</v>
      </c>
      <c r="AK58" s="5">
        <f t="shared" si="37"/>
        <v>93</v>
      </c>
      <c r="AL58" s="47">
        <f t="shared" si="27"/>
        <v>0.22368421052631579</v>
      </c>
      <c r="AM58" s="80">
        <f>34+29</f>
        <v>63</v>
      </c>
      <c r="AN58" s="46">
        <v>0</v>
      </c>
      <c r="AO58" s="5">
        <f t="shared" si="38"/>
        <v>63</v>
      </c>
      <c r="AP58" s="48">
        <f t="shared" si="28"/>
        <v>0</v>
      </c>
      <c r="AQ58" s="166">
        <f t="shared" si="39"/>
        <v>0</v>
      </c>
    </row>
    <row r="59" spans="1:43" ht="15.75" thickBot="1" x14ac:dyDescent="0.3">
      <c r="A59" s="30">
        <f>COUNT(A43:A58)</f>
        <v>16</v>
      </c>
      <c r="B59" s="41">
        <f>SUM(B43:B58)</f>
        <v>1266</v>
      </c>
      <c r="C59" s="41">
        <f>SUM(C43:C58)</f>
        <v>666</v>
      </c>
      <c r="D59" s="25">
        <f>SUM(B59:C59)</f>
        <v>1932</v>
      </c>
      <c r="E59" s="28">
        <f>C59/B59</f>
        <v>0.52606635071090047</v>
      </c>
      <c r="F59" s="41">
        <f>SUM(F43:F58)</f>
        <v>589</v>
      </c>
      <c r="G59" s="41">
        <f>SUM(G43:G58)</f>
        <v>3</v>
      </c>
      <c r="H59" s="25">
        <f>SUM(F59:G59)</f>
        <v>592</v>
      </c>
      <c r="I59" s="42">
        <f>AVERAGE(I43:I58)</f>
        <v>5.1412883920505872E-3</v>
      </c>
      <c r="J59" s="28">
        <f>AVERAGE(J43:J58)</f>
        <v>8.5846111736390014E-3</v>
      </c>
      <c r="L59" s="88">
        <v>1</v>
      </c>
      <c r="M59" s="86">
        <f>7+43+6+16</f>
        <v>72</v>
      </c>
      <c r="N59" s="5">
        <f>8+25+8+7</f>
        <v>48</v>
      </c>
      <c r="O59" s="5">
        <f t="shared" si="32"/>
        <v>120</v>
      </c>
      <c r="P59" s="27">
        <f t="shared" si="22"/>
        <v>0.66666666666666663</v>
      </c>
      <c r="Q59" s="80">
        <f>7+11+25+22+8</f>
        <v>73</v>
      </c>
      <c r="R59" s="46">
        <f>9+10+5</f>
        <v>24</v>
      </c>
      <c r="S59" s="5">
        <f t="shared" si="33"/>
        <v>97</v>
      </c>
      <c r="T59" s="48">
        <f t="shared" si="23"/>
        <v>0.32876712328767121</v>
      </c>
      <c r="U59" s="171">
        <f t="shared" si="24"/>
        <v>0.49315068493150682</v>
      </c>
      <c r="W59" s="82">
        <v>5</v>
      </c>
      <c r="X59" s="46">
        <f>39+28+16</f>
        <v>83</v>
      </c>
      <c r="Y59" s="46">
        <f>23+15+12</f>
        <v>50</v>
      </c>
      <c r="Z59" s="5">
        <f t="shared" si="34"/>
        <v>133</v>
      </c>
      <c r="AA59" s="48">
        <f t="shared" si="43"/>
        <v>0.60240963855421692</v>
      </c>
      <c r="AB59" s="46">
        <f>22+59+6</f>
        <v>87</v>
      </c>
      <c r="AC59" s="46">
        <v>0</v>
      </c>
      <c r="AD59" s="5">
        <f t="shared" si="35"/>
        <v>87</v>
      </c>
      <c r="AE59" s="47">
        <f t="shared" si="44"/>
        <v>0</v>
      </c>
      <c r="AF59" s="166">
        <f t="shared" si="36"/>
        <v>0</v>
      </c>
      <c r="AH59" s="82">
        <v>9</v>
      </c>
      <c r="AI59" s="46">
        <f>35+18+13</f>
        <v>66</v>
      </c>
      <c r="AJ59" s="46">
        <f>6+13+8</f>
        <v>27</v>
      </c>
      <c r="AK59" s="5">
        <f t="shared" si="37"/>
        <v>93</v>
      </c>
      <c r="AL59" s="47">
        <f t="shared" si="27"/>
        <v>0.40909090909090912</v>
      </c>
      <c r="AM59" s="80">
        <f>46+18</f>
        <v>64</v>
      </c>
      <c r="AN59" s="46">
        <v>0</v>
      </c>
      <c r="AO59" s="5">
        <f t="shared" si="38"/>
        <v>64</v>
      </c>
      <c r="AP59" s="48">
        <f t="shared" si="28"/>
        <v>0</v>
      </c>
      <c r="AQ59" s="166">
        <f t="shared" si="39"/>
        <v>0</v>
      </c>
    </row>
    <row r="60" spans="1:43" ht="15.75" thickBot="1" x14ac:dyDescent="0.3">
      <c r="D60" s="22">
        <f>AVERAGE(D43:D58)</f>
        <v>120.75</v>
      </c>
      <c r="H60" s="22">
        <f>AVERAGE(H43:H58)</f>
        <v>37</v>
      </c>
      <c r="J60" s="24">
        <f>STDEV(J43:J58)</f>
        <v>2.1771345324462756E-2</v>
      </c>
      <c r="L60" s="88">
        <v>4</v>
      </c>
      <c r="M60" s="86">
        <f>9+47+11+14</f>
        <v>81</v>
      </c>
      <c r="N60" s="5">
        <f>7+32+6+7</f>
        <v>52</v>
      </c>
      <c r="O60" s="5">
        <f t="shared" si="32"/>
        <v>133</v>
      </c>
      <c r="P60" s="27">
        <f t="shared" si="22"/>
        <v>0.64197530864197527</v>
      </c>
      <c r="Q60" s="80">
        <f>8+1+27+12+26</f>
        <v>74</v>
      </c>
      <c r="R60" s="46">
        <f>1+5+2+7+8</f>
        <v>23</v>
      </c>
      <c r="S60" s="5">
        <f t="shared" si="33"/>
        <v>97</v>
      </c>
      <c r="T60" s="48">
        <f t="shared" si="23"/>
        <v>0.3108108108108108</v>
      </c>
      <c r="U60" s="171">
        <f t="shared" si="24"/>
        <v>0.48414760914760918</v>
      </c>
      <c r="W60" s="82">
        <v>6</v>
      </c>
      <c r="X60" s="46">
        <f>51+27+15</f>
        <v>93</v>
      </c>
      <c r="Y60" s="46">
        <f>17+7+8</f>
        <v>32</v>
      </c>
      <c r="Z60" s="5">
        <f t="shared" si="34"/>
        <v>125</v>
      </c>
      <c r="AA60" s="48">
        <f t="shared" si="43"/>
        <v>0.34408602150537637</v>
      </c>
      <c r="AB60" s="46">
        <f>28+14+1</f>
        <v>43</v>
      </c>
      <c r="AC60" s="46">
        <v>0</v>
      </c>
      <c r="AD60" s="5">
        <f t="shared" si="35"/>
        <v>43</v>
      </c>
      <c r="AE60" s="47">
        <f t="shared" si="44"/>
        <v>0</v>
      </c>
      <c r="AF60" s="166">
        <f t="shared" si="36"/>
        <v>0</v>
      </c>
      <c r="AH60" s="82">
        <v>10</v>
      </c>
      <c r="AI60" s="46">
        <f>23+18+21</f>
        <v>62</v>
      </c>
      <c r="AJ60" s="46">
        <f>1</f>
        <v>1</v>
      </c>
      <c r="AK60" s="5">
        <f t="shared" si="37"/>
        <v>63</v>
      </c>
      <c r="AL60" s="47">
        <f t="shared" si="27"/>
        <v>1.6129032258064516E-2</v>
      </c>
      <c r="AM60" s="80">
        <f>49+16</f>
        <v>65</v>
      </c>
      <c r="AN60" s="46">
        <v>0</v>
      </c>
      <c r="AO60" s="5">
        <f t="shared" si="38"/>
        <v>65</v>
      </c>
      <c r="AP60" s="48">
        <f t="shared" si="28"/>
        <v>0</v>
      </c>
      <c r="AQ60" s="166">
        <f t="shared" si="39"/>
        <v>0</v>
      </c>
    </row>
    <row r="61" spans="1:43" ht="15.75" thickBot="1" x14ac:dyDescent="0.3">
      <c r="D61" s="22">
        <f>STDEV(D43:D58)</f>
        <v>19.192012227313043</v>
      </c>
      <c r="H61" s="22">
        <f>STDEV(H43:H58)</f>
        <v>13.351654079800999</v>
      </c>
      <c r="J61" s="24">
        <f>J60/SQRT(A59)</f>
        <v>5.4428363311156891E-3</v>
      </c>
      <c r="L61" s="83">
        <v>3</v>
      </c>
      <c r="M61" s="86">
        <f>30+63</f>
        <v>93</v>
      </c>
      <c r="N61" s="5">
        <f>23+19</f>
        <v>42</v>
      </c>
      <c r="O61" s="5">
        <f t="shared" si="32"/>
        <v>135</v>
      </c>
      <c r="P61" s="27">
        <f t="shared" si="22"/>
        <v>0.45161290322580644</v>
      </c>
      <c r="Q61" s="80">
        <f>36+23+14</f>
        <v>73</v>
      </c>
      <c r="R61" s="46">
        <f>10+5</f>
        <v>15</v>
      </c>
      <c r="S61" s="5">
        <f t="shared" si="33"/>
        <v>88</v>
      </c>
      <c r="T61" s="48">
        <f t="shared" si="23"/>
        <v>0.20547945205479451</v>
      </c>
      <c r="U61" s="171">
        <f t="shared" si="24"/>
        <v>0.45499021526418787</v>
      </c>
      <c r="W61" s="82">
        <v>7</v>
      </c>
      <c r="X61" s="46">
        <f>58+25+18</f>
        <v>101</v>
      </c>
      <c r="Y61" s="46">
        <f>28+7+8</f>
        <v>43</v>
      </c>
      <c r="Z61" s="5">
        <f t="shared" si="34"/>
        <v>144</v>
      </c>
      <c r="AA61" s="48">
        <f t="shared" si="43"/>
        <v>0.42574257425742573</v>
      </c>
      <c r="AB61" s="46">
        <f>19+57+21</f>
        <v>97</v>
      </c>
      <c r="AC61" s="46">
        <v>0</v>
      </c>
      <c r="AD61" s="5">
        <f t="shared" si="35"/>
        <v>97</v>
      </c>
      <c r="AE61" s="47">
        <f t="shared" si="44"/>
        <v>0</v>
      </c>
      <c r="AF61" s="166">
        <f t="shared" si="36"/>
        <v>0</v>
      </c>
      <c r="AH61" s="82">
        <v>1</v>
      </c>
      <c r="AI61" s="46">
        <f>6+36+20</f>
        <v>62</v>
      </c>
      <c r="AJ61" s="46">
        <f>4+12+17</f>
        <v>33</v>
      </c>
      <c r="AK61" s="5">
        <f t="shared" si="37"/>
        <v>95</v>
      </c>
      <c r="AL61" s="47">
        <f t="shared" si="27"/>
        <v>0.532258064516129</v>
      </c>
      <c r="AM61" s="80">
        <f>10+32+15</f>
        <v>57</v>
      </c>
      <c r="AN61" s="46">
        <v>0</v>
      </c>
      <c r="AO61" s="5">
        <f t="shared" si="38"/>
        <v>57</v>
      </c>
      <c r="AP61" s="48">
        <f t="shared" si="28"/>
        <v>0</v>
      </c>
      <c r="AQ61" s="166">
        <f t="shared" si="39"/>
        <v>0</v>
      </c>
    </row>
    <row r="62" spans="1:43" ht="15.75" thickBot="1" x14ac:dyDescent="0.3">
      <c r="L62" s="88">
        <v>9</v>
      </c>
      <c r="M62" s="86">
        <f>32+46+18</f>
        <v>96</v>
      </c>
      <c r="N62" s="5">
        <f>28+12+9</f>
        <v>49</v>
      </c>
      <c r="O62" s="5">
        <f t="shared" si="32"/>
        <v>145</v>
      </c>
      <c r="P62" s="27">
        <f t="shared" si="22"/>
        <v>0.51041666666666663</v>
      </c>
      <c r="Q62" s="80">
        <f>31+10</f>
        <v>41</v>
      </c>
      <c r="R62" s="46">
        <f>9</f>
        <v>9</v>
      </c>
      <c r="S62" s="5">
        <f t="shared" si="33"/>
        <v>50</v>
      </c>
      <c r="T62" s="48">
        <f t="shared" si="23"/>
        <v>0.21951219512195122</v>
      </c>
      <c r="U62" s="171">
        <f t="shared" si="24"/>
        <v>0.43006470881035347</v>
      </c>
      <c r="W62" s="84">
        <v>10</v>
      </c>
      <c r="X62" s="49">
        <f>46+28+14</f>
        <v>88</v>
      </c>
      <c r="Y62" s="49">
        <f>23+11+12</f>
        <v>46</v>
      </c>
      <c r="Z62" s="5">
        <f t="shared" si="34"/>
        <v>134</v>
      </c>
      <c r="AA62" s="51">
        <f>Y62/X62</f>
        <v>0.52272727272727271</v>
      </c>
      <c r="AB62" s="49">
        <f>12+47+35</f>
        <v>94</v>
      </c>
      <c r="AC62" s="49">
        <v>0</v>
      </c>
      <c r="AD62" s="5">
        <f t="shared" si="35"/>
        <v>94</v>
      </c>
      <c r="AE62" s="50">
        <f t="shared" si="44"/>
        <v>0</v>
      </c>
      <c r="AF62" s="168">
        <f t="shared" si="36"/>
        <v>0</v>
      </c>
      <c r="AH62" s="82">
        <v>2</v>
      </c>
      <c r="AI62" s="46">
        <f>27+20</f>
        <v>47</v>
      </c>
      <c r="AJ62" s="46">
        <f>16</f>
        <v>16</v>
      </c>
      <c r="AK62" s="5">
        <f t="shared" si="37"/>
        <v>63</v>
      </c>
      <c r="AL62" s="47">
        <f t="shared" si="27"/>
        <v>0.34042553191489361</v>
      </c>
      <c r="AM62" s="80">
        <f>13+15</f>
        <v>28</v>
      </c>
      <c r="AN62" s="46">
        <v>0</v>
      </c>
      <c r="AO62" s="5">
        <f t="shared" si="38"/>
        <v>28</v>
      </c>
      <c r="AP62" s="48">
        <f t="shared" si="28"/>
        <v>0</v>
      </c>
      <c r="AQ62" s="166">
        <f t="shared" si="39"/>
        <v>0</v>
      </c>
    </row>
    <row r="63" spans="1:43" ht="15.75" thickBot="1" x14ac:dyDescent="0.3">
      <c r="L63" s="88">
        <v>5</v>
      </c>
      <c r="M63" s="86">
        <f>50+61</f>
        <v>111</v>
      </c>
      <c r="N63" s="5">
        <f>32+31</f>
        <v>63</v>
      </c>
      <c r="O63" s="5">
        <f t="shared" si="32"/>
        <v>174</v>
      </c>
      <c r="P63" s="27">
        <f t="shared" si="22"/>
        <v>0.56756756756756754</v>
      </c>
      <c r="Q63" s="80">
        <f>35+16+12</f>
        <v>63</v>
      </c>
      <c r="R63" s="46">
        <f>5+2+6</f>
        <v>13</v>
      </c>
      <c r="S63" s="5">
        <f t="shared" si="33"/>
        <v>76</v>
      </c>
      <c r="T63" s="48">
        <f t="shared" si="23"/>
        <v>0.20634920634920634</v>
      </c>
      <c r="U63" s="171">
        <f t="shared" si="24"/>
        <v>0.36356764928193497</v>
      </c>
      <c r="W63" s="22">
        <f>COUNT(W43:W62)</f>
        <v>20</v>
      </c>
      <c r="X63" s="25">
        <f>SUM(X43:X62)</f>
        <v>1639</v>
      </c>
      <c r="Y63" s="25">
        <f>SUM(Y43:Y62)</f>
        <v>806</v>
      </c>
      <c r="Z63" s="25">
        <f>SUM(X63:Y63)</f>
        <v>2445</v>
      </c>
      <c r="AA63" s="24">
        <f>AVERAGE(AA43:AA62)</f>
        <v>0.49906510708472468</v>
      </c>
      <c r="AB63" s="25">
        <f>SUM(AB43:AB62)</f>
        <v>1087</v>
      </c>
      <c r="AC63" s="25">
        <f>SUM(AC43:AC62)</f>
        <v>7</v>
      </c>
      <c r="AD63" s="25">
        <f>SUM(AB63:AC63)</f>
        <v>1094</v>
      </c>
      <c r="AE63" s="24">
        <f>AVERAGE(AE43:AE62)</f>
        <v>1.0830280830280831E-2</v>
      </c>
      <c r="AF63" s="28">
        <f>AVERAGE(AF43:AF62)</f>
        <v>2.4120879120879117E-2</v>
      </c>
      <c r="AH63" s="83">
        <v>3</v>
      </c>
      <c r="AI63" s="46">
        <f>30+46+27</f>
        <v>103</v>
      </c>
      <c r="AJ63" s="46">
        <f>2+5+14</f>
        <v>21</v>
      </c>
      <c r="AK63" s="5">
        <f t="shared" si="37"/>
        <v>124</v>
      </c>
      <c r="AL63" s="47">
        <f t="shared" si="27"/>
        <v>0.20388349514563106</v>
      </c>
      <c r="AM63" s="80">
        <f>49+9</f>
        <v>58</v>
      </c>
      <c r="AN63" s="46">
        <v>0</v>
      </c>
      <c r="AO63" s="5">
        <f t="shared" si="38"/>
        <v>58</v>
      </c>
      <c r="AP63" s="48">
        <f t="shared" si="28"/>
        <v>0</v>
      </c>
      <c r="AQ63" s="166">
        <f t="shared" si="39"/>
        <v>0</v>
      </c>
    </row>
    <row r="64" spans="1:43" ht="15.75" thickBot="1" x14ac:dyDescent="0.3">
      <c r="L64" s="88">
        <v>10</v>
      </c>
      <c r="M64" s="86">
        <f>30+23+17</f>
        <v>70</v>
      </c>
      <c r="N64" s="5">
        <f>23+7+10</f>
        <v>40</v>
      </c>
      <c r="O64" s="5">
        <f t="shared" si="32"/>
        <v>110</v>
      </c>
      <c r="P64" s="27">
        <f t="shared" si="22"/>
        <v>0.5714285714285714</v>
      </c>
      <c r="Q64" s="80">
        <f>48+22</f>
        <v>70</v>
      </c>
      <c r="R64" s="46">
        <f>14</f>
        <v>14</v>
      </c>
      <c r="S64" s="5">
        <f t="shared" si="33"/>
        <v>84</v>
      </c>
      <c r="T64" s="48">
        <f t="shared" si="23"/>
        <v>0.2</v>
      </c>
      <c r="U64" s="171">
        <f t="shared" si="24"/>
        <v>0.35000000000000003</v>
      </c>
      <c r="Z64" s="22">
        <f>AVERAGE(Z43:Z62)</f>
        <v>122.25</v>
      </c>
      <c r="AD64" s="22">
        <f>AVERAGE(AD43:AD62)</f>
        <v>54.7</v>
      </c>
      <c r="AF64" s="24">
        <f>STDEV(AF43:AF62)</f>
        <v>6.696352883663563E-2</v>
      </c>
      <c r="AH64" s="82">
        <v>4</v>
      </c>
      <c r="AI64" s="46">
        <f>21+25+16</f>
        <v>62</v>
      </c>
      <c r="AJ64" s="46">
        <f>5+11</f>
        <v>16</v>
      </c>
      <c r="AK64" s="5">
        <f t="shared" si="37"/>
        <v>78</v>
      </c>
      <c r="AL64" s="47">
        <f t="shared" si="27"/>
        <v>0.25806451612903225</v>
      </c>
      <c r="AM64" s="80">
        <f>33+10</f>
        <v>43</v>
      </c>
      <c r="AN64" s="46">
        <v>0</v>
      </c>
      <c r="AO64" s="5">
        <f t="shared" si="38"/>
        <v>43</v>
      </c>
      <c r="AP64" s="48">
        <f t="shared" si="28"/>
        <v>0</v>
      </c>
      <c r="AQ64" s="166">
        <f t="shared" si="39"/>
        <v>0</v>
      </c>
    </row>
    <row r="65" spans="12:43" ht="15.75" thickBot="1" x14ac:dyDescent="0.3">
      <c r="L65" s="88">
        <v>5</v>
      </c>
      <c r="M65" s="86">
        <f>6+29+12+21</f>
        <v>68</v>
      </c>
      <c r="N65" s="5">
        <f>3+28+4+12</f>
        <v>47</v>
      </c>
      <c r="O65" s="5">
        <f t="shared" si="32"/>
        <v>115</v>
      </c>
      <c r="P65" s="27">
        <f t="shared" si="22"/>
        <v>0.69117647058823528</v>
      </c>
      <c r="Q65" s="80">
        <f>19+48+7</f>
        <v>74</v>
      </c>
      <c r="R65" s="46">
        <f>4+4+5+3+1</f>
        <v>17</v>
      </c>
      <c r="S65" s="5">
        <f t="shared" si="33"/>
        <v>91</v>
      </c>
      <c r="T65" s="48">
        <f t="shared" si="23"/>
        <v>0.22972972972972974</v>
      </c>
      <c r="U65" s="171">
        <f t="shared" si="24"/>
        <v>0.332374928119609</v>
      </c>
      <c r="Z65" s="22">
        <f>STDEV(Z43:Z62)</f>
        <v>26.957813045767018</v>
      </c>
      <c r="AD65" s="22">
        <f>STDEV(AD43:AD62)</f>
        <v>26.020437311750484</v>
      </c>
      <c r="AF65" s="24">
        <f>AF64/SQRT(W63)</f>
        <v>1.4973500249198466E-2</v>
      </c>
      <c r="AH65" s="84">
        <v>10</v>
      </c>
      <c r="AI65" s="49">
        <f>15+29+9</f>
        <v>53</v>
      </c>
      <c r="AJ65" s="49">
        <f>1+15+7</f>
        <v>23</v>
      </c>
      <c r="AK65" s="5">
        <f t="shared" si="37"/>
        <v>76</v>
      </c>
      <c r="AL65" s="50">
        <f t="shared" si="27"/>
        <v>0.43396226415094341</v>
      </c>
      <c r="AM65" s="81">
        <f>51+15</f>
        <v>66</v>
      </c>
      <c r="AN65" s="49">
        <v>0</v>
      </c>
      <c r="AO65" s="5">
        <f t="shared" si="38"/>
        <v>66</v>
      </c>
      <c r="AP65" s="51">
        <f t="shared" si="28"/>
        <v>0</v>
      </c>
      <c r="AQ65" s="168">
        <f t="shared" si="39"/>
        <v>0</v>
      </c>
    </row>
    <row r="66" spans="12:43" ht="15.75" thickBot="1" x14ac:dyDescent="0.3">
      <c r="L66" s="88">
        <v>10</v>
      </c>
      <c r="M66" s="86">
        <f>11+54+20+8</f>
        <v>93</v>
      </c>
      <c r="N66" s="5">
        <f>9+26+7+10</f>
        <v>52</v>
      </c>
      <c r="O66" s="5">
        <f t="shared" si="32"/>
        <v>145</v>
      </c>
      <c r="P66" s="27">
        <f t="shared" si="22"/>
        <v>0.55913978494623651</v>
      </c>
      <c r="Q66" s="80">
        <f>7+7+14+17+10</f>
        <v>55</v>
      </c>
      <c r="R66" s="46">
        <f>3+1+2+2+2</f>
        <v>10</v>
      </c>
      <c r="S66" s="5">
        <f t="shared" si="33"/>
        <v>65</v>
      </c>
      <c r="T66" s="48">
        <f t="shared" si="23"/>
        <v>0.18181818181818182</v>
      </c>
      <c r="U66" s="171">
        <f t="shared" si="24"/>
        <v>0.32517482517482521</v>
      </c>
      <c r="AH66" s="22">
        <f>COUNT(AH43:AH65)</f>
        <v>23</v>
      </c>
      <c r="AI66" s="25">
        <f>SUM(AI43:AI65)</f>
        <v>1822</v>
      </c>
      <c r="AJ66" s="25">
        <f>SUM(AJ43:AJ65)</f>
        <v>438</v>
      </c>
      <c r="AK66" s="25">
        <f>SUM(AI66:AJ66)</f>
        <v>2260</v>
      </c>
      <c r="AL66" s="24">
        <f>AVERAGE(AL43:AL65)</f>
        <v>0.26607051750169941</v>
      </c>
      <c r="AM66" s="25">
        <f>SUM(AM43:AM65)</f>
        <v>1428</v>
      </c>
      <c r="AN66" s="25">
        <f>SUM(AN43:AN65)</f>
        <v>1</v>
      </c>
      <c r="AO66" s="25">
        <f>SUM(AM66:AN66)</f>
        <v>1429</v>
      </c>
      <c r="AP66" s="24">
        <f>AVERAGE(AP43:AP65)</f>
        <v>4.7778308647873868E-4</v>
      </c>
      <c r="AQ66" s="28">
        <f>AVERAGE(AQ43:AQ65)</f>
        <v>1.3771394845563645E-3</v>
      </c>
    </row>
    <row r="67" spans="12:43" ht="15.75" thickBot="1" x14ac:dyDescent="0.3">
      <c r="L67" s="88">
        <v>10</v>
      </c>
      <c r="M67" s="86">
        <f>42+45</f>
        <v>87</v>
      </c>
      <c r="N67" s="5">
        <f>30+23</f>
        <v>53</v>
      </c>
      <c r="O67" s="5">
        <f t="shared" si="32"/>
        <v>140</v>
      </c>
      <c r="P67" s="27">
        <f t="shared" si="22"/>
        <v>0.60919540229885061</v>
      </c>
      <c r="Q67" s="80">
        <f>52+22+8</f>
        <v>82</v>
      </c>
      <c r="R67" s="46">
        <f>6+5+2</f>
        <v>13</v>
      </c>
      <c r="S67" s="5">
        <f t="shared" si="33"/>
        <v>95</v>
      </c>
      <c r="T67" s="48">
        <f t="shared" si="23"/>
        <v>0.15853658536585366</v>
      </c>
      <c r="U67" s="171">
        <f t="shared" si="24"/>
        <v>0.26023930050621258</v>
      </c>
      <c r="AK67" s="22">
        <f>AVERAGE(AK43:AK65)</f>
        <v>98.260869565217391</v>
      </c>
      <c r="AO67" s="22">
        <f>AVERAGE(AO43:AO65)</f>
        <v>62.130434782608695</v>
      </c>
      <c r="AQ67" s="24">
        <f>STDEV(AQ43:AQ65)</f>
        <v>6.6045289520340437E-3</v>
      </c>
    </row>
    <row r="68" spans="12:43" ht="15.75" thickBot="1" x14ac:dyDescent="0.3">
      <c r="L68" s="82">
        <v>1</v>
      </c>
      <c r="M68" s="86">
        <f>14+30+24</f>
        <v>68</v>
      </c>
      <c r="N68" s="5">
        <f>11+30+17</f>
        <v>58</v>
      </c>
      <c r="O68" s="5">
        <f t="shared" si="32"/>
        <v>126</v>
      </c>
      <c r="P68" s="27">
        <f t="shared" si="22"/>
        <v>0.8529411764705882</v>
      </c>
      <c r="Q68" s="80">
        <f>10+34</f>
        <v>44</v>
      </c>
      <c r="R68" s="46">
        <f>9</f>
        <v>9</v>
      </c>
      <c r="S68" s="5">
        <f t="shared" si="33"/>
        <v>53</v>
      </c>
      <c r="T68" s="48">
        <f t="shared" si="23"/>
        <v>0.20454545454545456</v>
      </c>
      <c r="U68" s="171">
        <f t="shared" si="24"/>
        <v>0.23981191222570536</v>
      </c>
      <c r="AK68" s="22">
        <f>STDEV(AK43:AK65)</f>
        <v>23.911232414351268</v>
      </c>
      <c r="AO68" s="22">
        <f>STDEV(AO43:AO65)</f>
        <v>17.568836945585026</v>
      </c>
      <c r="AQ68" s="24">
        <f>AQ67/SQRT(AH66)</f>
        <v>1.3771394845563647E-3</v>
      </c>
    </row>
    <row r="69" spans="12:43" x14ac:dyDescent="0.25">
      <c r="L69" s="88">
        <v>2</v>
      </c>
      <c r="M69" s="86">
        <f>13+52+8+8</f>
        <v>81</v>
      </c>
      <c r="N69" s="5">
        <f>7+39+3+4</f>
        <v>53</v>
      </c>
      <c r="O69" s="5">
        <f t="shared" si="32"/>
        <v>134</v>
      </c>
      <c r="P69" s="27">
        <f t="shared" si="22"/>
        <v>0.65432098765432101</v>
      </c>
      <c r="Q69" s="80">
        <f>1+6+1+6+48+15</f>
        <v>77</v>
      </c>
      <c r="R69" s="46">
        <f>2+1+2+5+1</f>
        <v>11</v>
      </c>
      <c r="S69" s="5">
        <f t="shared" si="33"/>
        <v>88</v>
      </c>
      <c r="T69" s="48">
        <f t="shared" si="23"/>
        <v>0.14285714285714285</v>
      </c>
      <c r="U69" s="171">
        <f t="shared" si="24"/>
        <v>0.21832884097035038</v>
      </c>
    </row>
    <row r="70" spans="12:43" x14ac:dyDescent="0.25">
      <c r="L70" s="88">
        <v>1</v>
      </c>
      <c r="M70" s="86">
        <f>28+10+15</f>
        <v>53</v>
      </c>
      <c r="N70" s="5">
        <f>16+2+13</f>
        <v>31</v>
      </c>
      <c r="O70" s="5">
        <f t="shared" si="32"/>
        <v>84</v>
      </c>
      <c r="P70" s="27">
        <f t="shared" si="22"/>
        <v>0.58490566037735847</v>
      </c>
      <c r="Q70" s="80">
        <f>7+45+11</f>
        <v>63</v>
      </c>
      <c r="R70" s="46">
        <f>2+6</f>
        <v>8</v>
      </c>
      <c r="S70" s="5">
        <f t="shared" si="33"/>
        <v>71</v>
      </c>
      <c r="T70" s="48">
        <f t="shared" si="23"/>
        <v>0.12698412698412698</v>
      </c>
      <c r="U70" s="171">
        <f t="shared" si="24"/>
        <v>0.21710189452124937</v>
      </c>
    </row>
    <row r="71" spans="12:43" x14ac:dyDescent="0.25">
      <c r="L71" s="83">
        <v>3</v>
      </c>
      <c r="M71" s="86">
        <f>29+24+16</f>
        <v>69</v>
      </c>
      <c r="N71" s="5">
        <f>23+18+6</f>
        <v>47</v>
      </c>
      <c r="O71" s="5">
        <f t="shared" si="32"/>
        <v>116</v>
      </c>
      <c r="P71" s="27">
        <f t="shared" si="22"/>
        <v>0.6811594202898551</v>
      </c>
      <c r="Q71" s="80">
        <f>12+12</f>
        <v>24</v>
      </c>
      <c r="R71" s="46">
        <f>3</f>
        <v>3</v>
      </c>
      <c r="S71" s="5">
        <f t="shared" si="33"/>
        <v>27</v>
      </c>
      <c r="T71" s="48">
        <f t="shared" si="23"/>
        <v>0.125</v>
      </c>
      <c r="U71" s="171">
        <f t="shared" si="24"/>
        <v>0.18351063829787234</v>
      </c>
    </row>
    <row r="72" spans="12:43" x14ac:dyDescent="0.25">
      <c r="L72" s="88">
        <v>8</v>
      </c>
      <c r="M72" s="86">
        <f>40+18+32</f>
        <v>90</v>
      </c>
      <c r="N72" s="5">
        <f>29+5+24</f>
        <v>58</v>
      </c>
      <c r="O72" s="5">
        <f t="shared" si="32"/>
        <v>148</v>
      </c>
      <c r="P72" s="27">
        <f t="shared" si="22"/>
        <v>0.64444444444444449</v>
      </c>
      <c r="Q72" s="80">
        <f>5+51+17</f>
        <v>73</v>
      </c>
      <c r="R72" s="46">
        <f>4+2+2</f>
        <v>8</v>
      </c>
      <c r="S72" s="5">
        <f t="shared" si="33"/>
        <v>81</v>
      </c>
      <c r="T72" s="48">
        <f t="shared" si="23"/>
        <v>0.1095890410958904</v>
      </c>
      <c r="U72" s="171">
        <f t="shared" si="24"/>
        <v>0.17005196032120923</v>
      </c>
    </row>
    <row r="73" spans="12:43" x14ac:dyDescent="0.25">
      <c r="L73" s="88">
        <v>5</v>
      </c>
      <c r="M73" s="86">
        <f>43+21+35</f>
        <v>99</v>
      </c>
      <c r="N73" s="5">
        <f>30+8+21</f>
        <v>59</v>
      </c>
      <c r="O73" s="5">
        <f t="shared" si="32"/>
        <v>158</v>
      </c>
      <c r="P73" s="27">
        <f t="shared" si="22"/>
        <v>0.59595959595959591</v>
      </c>
      <c r="Q73" s="80">
        <f>5+38+9</f>
        <v>52</v>
      </c>
      <c r="R73" s="46">
        <f>1+3</f>
        <v>4</v>
      </c>
      <c r="S73" s="5">
        <f t="shared" si="33"/>
        <v>56</v>
      </c>
      <c r="T73" s="48">
        <f t="shared" si="23"/>
        <v>7.6923076923076927E-2</v>
      </c>
      <c r="U73" s="171">
        <f t="shared" si="24"/>
        <v>0.12907431551499349</v>
      </c>
    </row>
    <row r="74" spans="12:43" x14ac:dyDescent="0.25">
      <c r="L74" s="88">
        <v>6</v>
      </c>
      <c r="M74" s="86">
        <f>55+23+31</f>
        <v>109</v>
      </c>
      <c r="N74" s="5">
        <f>23+6+16</f>
        <v>45</v>
      </c>
      <c r="O74" s="5">
        <f t="shared" si="32"/>
        <v>154</v>
      </c>
      <c r="P74" s="27">
        <f t="shared" si="22"/>
        <v>0.41284403669724773</v>
      </c>
      <c r="Q74" s="80">
        <f>31+11</f>
        <v>42</v>
      </c>
      <c r="R74" s="46">
        <f>2</f>
        <v>2</v>
      </c>
      <c r="S74" s="5">
        <f t="shared" si="33"/>
        <v>44</v>
      </c>
      <c r="T74" s="48">
        <f t="shared" si="23"/>
        <v>4.7619047619047616E-2</v>
      </c>
      <c r="U74" s="171">
        <f t="shared" si="24"/>
        <v>0.11534391534391533</v>
      </c>
    </row>
    <row r="75" spans="12:43" x14ac:dyDescent="0.25">
      <c r="L75" s="88">
        <v>10</v>
      </c>
      <c r="M75" s="86">
        <f>23+18+22</f>
        <v>63</v>
      </c>
      <c r="N75" s="5">
        <f>10+13+16</f>
        <v>39</v>
      </c>
      <c r="O75" s="5">
        <f t="shared" si="32"/>
        <v>102</v>
      </c>
      <c r="P75" s="27">
        <f t="shared" ref="P75:P91" si="45">N75/M75</f>
        <v>0.61904761904761907</v>
      </c>
      <c r="Q75" s="80">
        <f>38+11</f>
        <v>49</v>
      </c>
      <c r="R75" s="46">
        <v>3</v>
      </c>
      <c r="S75" s="5">
        <f t="shared" si="33"/>
        <v>52</v>
      </c>
      <c r="T75" s="48">
        <f t="shared" si="23"/>
        <v>6.1224489795918366E-2</v>
      </c>
      <c r="U75" s="171">
        <f t="shared" ref="U75:U91" si="46">T75/P75</f>
        <v>9.8901098901098897E-2</v>
      </c>
    </row>
    <row r="76" spans="12:43" x14ac:dyDescent="0.25">
      <c r="L76" s="88">
        <v>8</v>
      </c>
      <c r="M76" s="86">
        <f>27+31+44</f>
        <v>102</v>
      </c>
      <c r="N76" s="5">
        <f>12+14+19</f>
        <v>45</v>
      </c>
      <c r="O76" s="5">
        <f t="shared" si="32"/>
        <v>147</v>
      </c>
      <c r="P76" s="27">
        <f t="shared" si="45"/>
        <v>0.44117647058823528</v>
      </c>
      <c r="Q76" s="80">
        <f>54+11</f>
        <v>65</v>
      </c>
      <c r="R76" s="46">
        <f>2</f>
        <v>2</v>
      </c>
      <c r="S76" s="5">
        <f t="shared" si="33"/>
        <v>67</v>
      </c>
      <c r="T76" s="48">
        <f t="shared" si="23"/>
        <v>3.0769230769230771E-2</v>
      </c>
      <c r="U76" s="171">
        <f t="shared" si="46"/>
        <v>6.9743589743589754E-2</v>
      </c>
    </row>
    <row r="77" spans="12:43" x14ac:dyDescent="0.25">
      <c r="L77" s="88">
        <v>10</v>
      </c>
      <c r="M77" s="86">
        <f>47+11+24</f>
        <v>82</v>
      </c>
      <c r="N77" s="5">
        <f>17+5+7</f>
        <v>29</v>
      </c>
      <c r="O77" s="5">
        <f t="shared" si="32"/>
        <v>111</v>
      </c>
      <c r="P77" s="27">
        <f t="shared" si="45"/>
        <v>0.35365853658536583</v>
      </c>
      <c r="Q77" s="80">
        <f>6+30+8</f>
        <v>44</v>
      </c>
      <c r="R77" s="46">
        <f>1</f>
        <v>1</v>
      </c>
      <c r="S77" s="5">
        <f t="shared" si="33"/>
        <v>45</v>
      </c>
      <c r="T77" s="48">
        <f t="shared" si="23"/>
        <v>2.2727272727272728E-2</v>
      </c>
      <c r="U77" s="171">
        <f t="shared" si="46"/>
        <v>6.4263322884012541E-2</v>
      </c>
    </row>
    <row r="78" spans="12:43" x14ac:dyDescent="0.25">
      <c r="L78" s="88">
        <v>5</v>
      </c>
      <c r="M78" s="86">
        <f>23+23+11</f>
        <v>57</v>
      </c>
      <c r="N78" s="5">
        <f>12+17+6</f>
        <v>35</v>
      </c>
      <c r="O78" s="5">
        <f t="shared" si="32"/>
        <v>92</v>
      </c>
      <c r="P78" s="27">
        <f t="shared" si="45"/>
        <v>0.61403508771929827</v>
      </c>
      <c r="Q78" s="80">
        <f>18+12</f>
        <v>30</v>
      </c>
      <c r="R78" s="46">
        <f>1</f>
        <v>1</v>
      </c>
      <c r="S78" s="5">
        <f t="shared" si="33"/>
        <v>31</v>
      </c>
      <c r="T78" s="48">
        <f t="shared" si="23"/>
        <v>3.3333333333333333E-2</v>
      </c>
      <c r="U78" s="171">
        <f t="shared" si="46"/>
        <v>5.4285714285714284E-2</v>
      </c>
    </row>
    <row r="79" spans="12:43" x14ac:dyDescent="0.25">
      <c r="L79" s="88">
        <v>2</v>
      </c>
      <c r="M79" s="86">
        <f>36+71</f>
        <v>107</v>
      </c>
      <c r="N79" s="40">
        <f>26+29</f>
        <v>55</v>
      </c>
      <c r="O79" s="5">
        <f t="shared" si="32"/>
        <v>162</v>
      </c>
      <c r="P79" s="27">
        <f t="shared" si="45"/>
        <v>0.51401869158878499</v>
      </c>
      <c r="Q79" s="80">
        <f>2+21+13</f>
        <v>36</v>
      </c>
      <c r="R79" s="46">
        <f>1</f>
        <v>1</v>
      </c>
      <c r="S79" s="5">
        <f t="shared" si="33"/>
        <v>37</v>
      </c>
      <c r="T79" s="48">
        <f t="shared" si="23"/>
        <v>2.7777777777777776E-2</v>
      </c>
      <c r="U79" s="171">
        <f t="shared" si="46"/>
        <v>5.4040404040404041E-2</v>
      </c>
    </row>
    <row r="80" spans="12:43" x14ac:dyDescent="0.25">
      <c r="L80" s="83">
        <v>3</v>
      </c>
      <c r="M80" s="86">
        <f>41+16+23</f>
        <v>80</v>
      </c>
      <c r="N80" s="5">
        <f>18+2+10</f>
        <v>30</v>
      </c>
      <c r="O80" s="5">
        <f t="shared" si="32"/>
        <v>110</v>
      </c>
      <c r="P80" s="27">
        <f t="shared" si="45"/>
        <v>0.375</v>
      </c>
      <c r="Q80" s="80">
        <f>7+37+6</f>
        <v>50</v>
      </c>
      <c r="R80" s="46">
        <f>1</f>
        <v>1</v>
      </c>
      <c r="S80" s="5">
        <f t="shared" si="33"/>
        <v>51</v>
      </c>
      <c r="T80" s="48">
        <f t="shared" si="23"/>
        <v>0.02</v>
      </c>
      <c r="U80" s="171">
        <f t="shared" si="46"/>
        <v>5.3333333333333337E-2</v>
      </c>
    </row>
    <row r="81" spans="12:21" x14ac:dyDescent="0.25">
      <c r="L81" s="88">
        <v>9</v>
      </c>
      <c r="M81" s="86">
        <f>14+26+28</f>
        <v>68</v>
      </c>
      <c r="N81" s="5">
        <f>11+10+17</f>
        <v>38</v>
      </c>
      <c r="O81" s="5">
        <f t="shared" si="32"/>
        <v>106</v>
      </c>
      <c r="P81" s="27">
        <f t="shared" si="45"/>
        <v>0.55882352941176472</v>
      </c>
      <c r="Q81" s="80">
        <f>30+5</f>
        <v>35</v>
      </c>
      <c r="R81" s="46">
        <f>1</f>
        <v>1</v>
      </c>
      <c r="S81" s="5">
        <f t="shared" si="33"/>
        <v>36</v>
      </c>
      <c r="T81" s="48">
        <f t="shared" si="23"/>
        <v>2.8571428571428571E-2</v>
      </c>
      <c r="U81" s="171">
        <f t="shared" si="46"/>
        <v>5.1127819548872175E-2</v>
      </c>
    </row>
    <row r="82" spans="12:21" x14ac:dyDescent="0.25">
      <c r="L82" s="88">
        <v>6</v>
      </c>
      <c r="M82" s="86">
        <f>9+55+19+18</f>
        <v>101</v>
      </c>
      <c r="N82" s="5">
        <f>9+34+7+11</f>
        <v>61</v>
      </c>
      <c r="O82" s="5">
        <f t="shared" si="32"/>
        <v>162</v>
      </c>
      <c r="P82" s="27">
        <f t="shared" si="45"/>
        <v>0.60396039603960394</v>
      </c>
      <c r="Q82" s="80">
        <f>13+2+27+10+25</f>
        <v>77</v>
      </c>
      <c r="R82" s="46">
        <v>2</v>
      </c>
      <c r="S82" s="5">
        <f t="shared" si="33"/>
        <v>79</v>
      </c>
      <c r="T82" s="48">
        <f t="shared" si="23"/>
        <v>2.5974025974025976E-2</v>
      </c>
      <c r="U82" s="171">
        <f t="shared" si="46"/>
        <v>4.3006174153715139E-2</v>
      </c>
    </row>
    <row r="83" spans="12:21" x14ac:dyDescent="0.25">
      <c r="L83" s="88">
        <v>4</v>
      </c>
      <c r="M83" s="86">
        <f>32+34+20</f>
        <v>86</v>
      </c>
      <c r="N83" s="5">
        <f>22+15+2</f>
        <v>39</v>
      </c>
      <c r="O83" s="5">
        <f t="shared" si="32"/>
        <v>125</v>
      </c>
      <c r="P83" s="27">
        <f t="shared" si="45"/>
        <v>0.45348837209302323</v>
      </c>
      <c r="Q83" s="80">
        <f>41+11</f>
        <v>52</v>
      </c>
      <c r="R83" s="46">
        <f>1</f>
        <v>1</v>
      </c>
      <c r="S83" s="5">
        <f t="shared" si="33"/>
        <v>53</v>
      </c>
      <c r="T83" s="48">
        <f t="shared" si="23"/>
        <v>1.9230769230769232E-2</v>
      </c>
      <c r="U83" s="171">
        <f t="shared" si="46"/>
        <v>4.2406311637080869E-2</v>
      </c>
    </row>
    <row r="84" spans="12:21" x14ac:dyDescent="0.25">
      <c r="L84" s="88">
        <v>7</v>
      </c>
      <c r="M84" s="86">
        <f>26+33+20</f>
        <v>79</v>
      </c>
      <c r="N84" s="5">
        <f>22+14+9</f>
        <v>45</v>
      </c>
      <c r="O84" s="5">
        <f t="shared" si="32"/>
        <v>124</v>
      </c>
      <c r="P84" s="27">
        <f t="shared" si="45"/>
        <v>0.569620253164557</v>
      </c>
      <c r="Q84" s="80">
        <f>23+20</f>
        <v>43</v>
      </c>
      <c r="R84" s="46">
        <f>1</f>
        <v>1</v>
      </c>
      <c r="S84" s="5">
        <f t="shared" si="33"/>
        <v>44</v>
      </c>
      <c r="T84" s="48">
        <f t="shared" si="23"/>
        <v>2.3255813953488372E-2</v>
      </c>
      <c r="U84" s="171">
        <f t="shared" si="46"/>
        <v>4.0826873385012917E-2</v>
      </c>
    </row>
    <row r="85" spans="12:21" x14ac:dyDescent="0.25">
      <c r="L85" s="88">
        <v>2</v>
      </c>
      <c r="M85" s="86">
        <f>15+24+11</f>
        <v>50</v>
      </c>
      <c r="N85" s="5">
        <f>14+9+12</f>
        <v>35</v>
      </c>
      <c r="O85" s="5">
        <f t="shared" si="32"/>
        <v>85</v>
      </c>
      <c r="P85" s="27">
        <f t="shared" si="45"/>
        <v>0.7</v>
      </c>
      <c r="Q85" s="80">
        <f>26+9</f>
        <v>35</v>
      </c>
      <c r="R85" s="46">
        <f>1</f>
        <v>1</v>
      </c>
      <c r="S85" s="5">
        <f t="shared" si="33"/>
        <v>36</v>
      </c>
      <c r="T85" s="48">
        <f t="shared" si="23"/>
        <v>2.8571428571428571E-2</v>
      </c>
      <c r="U85" s="171">
        <f t="shared" si="46"/>
        <v>4.0816326530612249E-2</v>
      </c>
    </row>
    <row r="86" spans="12:21" x14ac:dyDescent="0.25">
      <c r="L86" s="88">
        <v>9</v>
      </c>
      <c r="M86" s="86">
        <f>7+49+16+14</f>
        <v>86</v>
      </c>
      <c r="N86" s="5">
        <f>10+45+10+17</f>
        <v>82</v>
      </c>
      <c r="O86" s="5">
        <f t="shared" si="32"/>
        <v>168</v>
      </c>
      <c r="P86" s="27">
        <f t="shared" si="45"/>
        <v>0.95348837209302328</v>
      </c>
      <c r="Q86" s="80">
        <f>1+5+5+10+9</f>
        <v>30</v>
      </c>
      <c r="R86" s="46">
        <f>1</f>
        <v>1</v>
      </c>
      <c r="S86" s="5">
        <f t="shared" si="33"/>
        <v>31</v>
      </c>
      <c r="T86" s="48">
        <f t="shared" si="23"/>
        <v>3.3333333333333333E-2</v>
      </c>
      <c r="U86" s="171">
        <f t="shared" si="46"/>
        <v>3.4959349593495934E-2</v>
      </c>
    </row>
    <row r="87" spans="12:21" x14ac:dyDescent="0.25">
      <c r="L87" s="83">
        <v>3</v>
      </c>
      <c r="M87" s="86">
        <f>24+28+14</f>
        <v>66</v>
      </c>
      <c r="N87" s="5">
        <f>24+17+4</f>
        <v>45</v>
      </c>
      <c r="O87" s="5">
        <f t="shared" si="32"/>
        <v>111</v>
      </c>
      <c r="P87" s="27">
        <f t="shared" si="45"/>
        <v>0.68181818181818177</v>
      </c>
      <c r="Q87" s="80">
        <f>44+12</f>
        <v>56</v>
      </c>
      <c r="R87" s="46">
        <f>0</f>
        <v>0</v>
      </c>
      <c r="S87" s="5">
        <f t="shared" si="33"/>
        <v>56</v>
      </c>
      <c r="T87" s="48">
        <f t="shared" si="23"/>
        <v>0</v>
      </c>
      <c r="U87" s="171">
        <f t="shared" si="46"/>
        <v>0</v>
      </c>
    </row>
    <row r="88" spans="12:21" x14ac:dyDescent="0.25">
      <c r="L88" s="88">
        <v>7</v>
      </c>
      <c r="M88" s="86">
        <f>48+59</f>
        <v>107</v>
      </c>
      <c r="N88" s="54">
        <f>35+26</f>
        <v>61</v>
      </c>
      <c r="O88" s="5">
        <f t="shared" si="32"/>
        <v>168</v>
      </c>
      <c r="P88" s="27">
        <f t="shared" si="45"/>
        <v>0.57009345794392519</v>
      </c>
      <c r="Q88" s="80">
        <f>10+14+15</f>
        <v>39</v>
      </c>
      <c r="R88" s="46">
        <f>1+1</f>
        <v>2</v>
      </c>
      <c r="S88" s="5">
        <f t="shared" si="33"/>
        <v>41</v>
      </c>
      <c r="T88" s="48">
        <v>0</v>
      </c>
      <c r="U88" s="171">
        <f t="shared" si="46"/>
        <v>0</v>
      </c>
    </row>
    <row r="89" spans="12:21" x14ac:dyDescent="0.25">
      <c r="L89" s="88">
        <v>8</v>
      </c>
      <c r="M89" s="86">
        <f>61+43</f>
        <v>104</v>
      </c>
      <c r="N89" s="40">
        <f>27+26</f>
        <v>53</v>
      </c>
      <c r="O89" s="5">
        <f t="shared" si="32"/>
        <v>157</v>
      </c>
      <c r="P89" s="27">
        <f t="shared" si="45"/>
        <v>0.50961538461538458</v>
      </c>
      <c r="Q89" s="80">
        <f>34+24+17</f>
        <v>75</v>
      </c>
      <c r="R89" s="46">
        <f>9+3+3</f>
        <v>15</v>
      </c>
      <c r="S89" s="5">
        <f t="shared" si="33"/>
        <v>90</v>
      </c>
      <c r="T89" s="48">
        <v>0</v>
      </c>
      <c r="U89" s="171">
        <f t="shared" si="46"/>
        <v>0</v>
      </c>
    </row>
    <row r="90" spans="12:21" x14ac:dyDescent="0.25">
      <c r="L90" s="83">
        <v>3</v>
      </c>
      <c r="M90" s="86">
        <f>14+51+9+14</f>
        <v>88</v>
      </c>
      <c r="N90" s="5">
        <f>7+23+4+5</f>
        <v>39</v>
      </c>
      <c r="O90" s="5">
        <f t="shared" si="32"/>
        <v>127</v>
      </c>
      <c r="P90" s="27">
        <f t="shared" si="45"/>
        <v>0.44318181818181818</v>
      </c>
      <c r="Q90" s="80">
        <f>4+5+14</f>
        <v>23</v>
      </c>
      <c r="R90" s="46">
        <f>0</f>
        <v>0</v>
      </c>
      <c r="S90" s="5">
        <f t="shared" si="33"/>
        <v>23</v>
      </c>
      <c r="T90" s="48">
        <f>R90/Q90</f>
        <v>0</v>
      </c>
      <c r="U90" s="171">
        <f t="shared" si="46"/>
        <v>0</v>
      </c>
    </row>
    <row r="91" spans="12:21" ht="15.75" thickBot="1" x14ac:dyDescent="0.3">
      <c r="L91" s="95">
        <v>7</v>
      </c>
      <c r="M91" s="87">
        <f>7+38+10+22</f>
        <v>77</v>
      </c>
      <c r="N91" s="53">
        <f>3+42+6+17</f>
        <v>68</v>
      </c>
      <c r="O91" s="5">
        <f t="shared" si="32"/>
        <v>145</v>
      </c>
      <c r="P91" s="34">
        <f t="shared" si="45"/>
        <v>0.88311688311688308</v>
      </c>
      <c r="Q91" s="81">
        <f>12+3+8+6+11</f>
        <v>40</v>
      </c>
      <c r="R91" s="49">
        <f>0</f>
        <v>0</v>
      </c>
      <c r="S91" s="5">
        <f t="shared" si="33"/>
        <v>40</v>
      </c>
      <c r="T91" s="51">
        <v>0</v>
      </c>
      <c r="U91" s="172">
        <f t="shared" si="46"/>
        <v>0</v>
      </c>
    </row>
    <row r="92" spans="12:21" ht="15.75" thickBot="1" x14ac:dyDescent="0.3">
      <c r="L92" s="22">
        <f>COUNT(L43:L91)</f>
        <v>49</v>
      </c>
      <c r="M92" s="96">
        <f>SUM(M43:M91)</f>
        <v>4054</v>
      </c>
      <c r="N92" s="25">
        <f>SUM(N43:N91)</f>
        <v>2347</v>
      </c>
      <c r="O92" s="25">
        <f>SUM(M92:N92)</f>
        <v>6401</v>
      </c>
      <c r="P92" s="97">
        <f>AVERAGE(P43:P91)</f>
        <v>0.58728927736634695</v>
      </c>
      <c r="Q92" s="98">
        <f>SUM(Q43:Q91)</f>
        <v>2605</v>
      </c>
      <c r="R92" s="99">
        <f>SUM(R43:R91)</f>
        <v>538</v>
      </c>
      <c r="S92" s="25">
        <f>SUM(Q92:R92)</f>
        <v>3143</v>
      </c>
      <c r="T92" s="100">
        <f>AVERAGE(T43:T91)</f>
        <v>0.20851801269142897</v>
      </c>
      <c r="U92" s="28">
        <f>AVERAGE(U43:U91)</f>
        <v>0.35850329146644311</v>
      </c>
    </row>
    <row r="93" spans="12:21" ht="15.75" thickBot="1" x14ac:dyDescent="0.3">
      <c r="O93" s="22">
        <f>AVERAGE(O43:O91)</f>
        <v>130.63265306122449</v>
      </c>
      <c r="S93" s="22">
        <f>AVERAGE(S43:S91)</f>
        <v>64.142857142857139</v>
      </c>
      <c r="U93" s="24">
        <f>STDEV(U43:U91)</f>
        <v>0.34987055610996931</v>
      </c>
    </row>
    <row r="94" spans="12:21" ht="15.75" thickBot="1" x14ac:dyDescent="0.3">
      <c r="O94" s="22">
        <f>STDEV(O43:O91)</f>
        <v>22.303488028362107</v>
      </c>
      <c r="S94" s="22">
        <f>STDEV(S43:S91)</f>
        <v>24.979157978869772</v>
      </c>
      <c r="U94" s="24">
        <f>U93/SQRT(L92)</f>
        <v>4.99815080157099E-2</v>
      </c>
    </row>
  </sheetData>
  <sortState ref="L40:U89">
    <sortCondition descending="1" ref="U40:U89"/>
  </sortState>
  <mergeCells count="36">
    <mergeCell ref="F2:I2"/>
    <mergeCell ref="B2:E2"/>
    <mergeCell ref="L1:U1"/>
    <mergeCell ref="W1:AF1"/>
    <mergeCell ref="Q2:T2"/>
    <mergeCell ref="M2:P2"/>
    <mergeCell ref="A1:J1"/>
    <mergeCell ref="AH1:AQ1"/>
    <mergeCell ref="A41:A42"/>
    <mergeCell ref="J41:J42"/>
    <mergeCell ref="L41:L42"/>
    <mergeCell ref="U41:U42"/>
    <mergeCell ref="W41:W42"/>
    <mergeCell ref="J2:J3"/>
    <mergeCell ref="A2:A3"/>
    <mergeCell ref="L2:L3"/>
    <mergeCell ref="U2:U3"/>
    <mergeCell ref="AH2:AH3"/>
    <mergeCell ref="AQ2:AQ3"/>
    <mergeCell ref="W2:W3"/>
    <mergeCell ref="AF2:AF3"/>
    <mergeCell ref="AF41:AF42"/>
    <mergeCell ref="AH41:AH42"/>
    <mergeCell ref="AQ41:AQ42"/>
    <mergeCell ref="AB2:AE2"/>
    <mergeCell ref="X2:AA2"/>
    <mergeCell ref="AI2:AL2"/>
    <mergeCell ref="AM2:AP2"/>
    <mergeCell ref="AB41:AE41"/>
    <mergeCell ref="AI41:AL41"/>
    <mergeCell ref="AM41:AP41"/>
    <mergeCell ref="B41:E41"/>
    <mergeCell ref="F41:I41"/>
    <mergeCell ref="M41:P41"/>
    <mergeCell ref="Q41:T41"/>
    <mergeCell ref="X41:AA41"/>
  </mergeCells>
  <pageMargins left="0.7" right="0.7" top="0.75" bottom="0.75" header="0.3" footer="0.3"/>
  <pageSetup orientation="portrait" r:id="rId1"/>
  <ignoredErrors>
    <ignoredError sqref="E24 AA63 P9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workbookViewId="0">
      <pane ySplit="1" topLeftCell="A2" activePane="bottomLeft" state="frozen"/>
      <selection activeCell="E1" sqref="E1"/>
      <selection pane="bottomLeft" sqref="A1:J1"/>
    </sheetView>
  </sheetViews>
  <sheetFormatPr defaultRowHeight="15" x14ac:dyDescent="0.25"/>
  <cols>
    <col min="1" max="1" width="6.5703125" customWidth="1"/>
    <col min="2" max="2" width="6.85546875" customWidth="1"/>
    <col min="3" max="4" width="7.28515625" customWidth="1"/>
    <col min="5" max="5" width="8.7109375" customWidth="1"/>
    <col min="6" max="6" width="7.28515625" customWidth="1"/>
    <col min="7" max="8" width="7.5703125" customWidth="1"/>
    <col min="9" max="9" width="8.42578125" customWidth="1"/>
    <col min="10" max="10" width="7.7109375" customWidth="1"/>
    <col min="11" max="11" width="5.5703125" customWidth="1"/>
    <col min="12" max="12" width="6.5703125" customWidth="1"/>
    <col min="13" max="13" width="6.85546875" customWidth="1"/>
    <col min="14" max="15" width="7.28515625" customWidth="1"/>
    <col min="16" max="16" width="8.7109375" customWidth="1"/>
    <col min="17" max="17" width="7.28515625" customWidth="1"/>
    <col min="18" max="19" width="7.5703125" customWidth="1"/>
    <col min="20" max="20" width="8.42578125" customWidth="1"/>
    <col min="21" max="21" width="7.7109375" customWidth="1"/>
    <col min="22" max="22" width="5.5703125" customWidth="1"/>
    <col min="23" max="23" width="6.5703125" customWidth="1"/>
    <col min="24" max="24" width="6.85546875" customWidth="1"/>
    <col min="25" max="26" width="7.28515625" customWidth="1"/>
    <col min="27" max="27" width="8.7109375" customWidth="1"/>
    <col min="28" max="28" width="7.28515625" customWidth="1"/>
    <col min="29" max="30" width="7.5703125" customWidth="1"/>
    <col min="31" max="31" width="8.42578125" customWidth="1"/>
    <col min="32" max="32" width="7.7109375" customWidth="1"/>
    <col min="33" max="33" width="5.7109375" customWidth="1"/>
    <col min="34" max="34" width="6.5703125" customWidth="1"/>
    <col min="35" max="35" width="6.85546875" customWidth="1"/>
    <col min="36" max="37" width="7.28515625" customWidth="1"/>
    <col min="38" max="38" width="8.7109375" customWidth="1"/>
    <col min="39" max="39" width="7.28515625" customWidth="1"/>
    <col min="40" max="41" width="7.5703125" customWidth="1"/>
    <col min="42" max="42" width="8.42578125" customWidth="1"/>
    <col min="43" max="43" width="7.7109375" customWidth="1"/>
  </cols>
  <sheetData>
    <row r="1" spans="1:43" ht="45" customHeight="1" thickBot="1" x14ac:dyDescent="0.3">
      <c r="A1" s="201" t="s">
        <v>37</v>
      </c>
      <c r="B1" s="202"/>
      <c r="C1" s="202"/>
      <c r="D1" s="202"/>
      <c r="E1" s="202"/>
      <c r="F1" s="202"/>
      <c r="G1" s="202"/>
      <c r="H1" s="202"/>
      <c r="I1" s="202"/>
      <c r="J1" s="203"/>
      <c r="L1" s="201" t="s">
        <v>38</v>
      </c>
      <c r="M1" s="202"/>
      <c r="N1" s="202"/>
      <c r="O1" s="202"/>
      <c r="P1" s="202"/>
      <c r="Q1" s="202"/>
      <c r="R1" s="202"/>
      <c r="S1" s="202"/>
      <c r="T1" s="202"/>
      <c r="U1" s="203"/>
      <c r="W1" s="201" t="s">
        <v>39</v>
      </c>
      <c r="X1" s="202"/>
      <c r="Y1" s="202"/>
      <c r="Z1" s="202"/>
      <c r="AA1" s="202"/>
      <c r="AB1" s="202"/>
      <c r="AC1" s="202"/>
      <c r="AD1" s="202"/>
      <c r="AE1" s="202"/>
      <c r="AF1" s="203"/>
      <c r="AH1" s="188" t="s">
        <v>40</v>
      </c>
      <c r="AI1" s="189"/>
      <c r="AJ1" s="189"/>
      <c r="AK1" s="189"/>
      <c r="AL1" s="189"/>
      <c r="AM1" s="189"/>
      <c r="AN1" s="189"/>
      <c r="AO1" s="189"/>
      <c r="AP1" s="189"/>
      <c r="AQ1" s="190"/>
    </row>
    <row r="2" spans="1:43" ht="14.45" customHeight="1" x14ac:dyDescent="0.25">
      <c r="A2" s="191" t="s">
        <v>3</v>
      </c>
      <c r="B2" s="206" t="s">
        <v>9</v>
      </c>
      <c r="C2" s="179"/>
      <c r="D2" s="179"/>
      <c r="E2" s="185"/>
      <c r="F2" s="184" t="s">
        <v>10</v>
      </c>
      <c r="G2" s="182"/>
      <c r="H2" s="182"/>
      <c r="I2" s="183"/>
      <c r="J2" s="186" t="s">
        <v>7</v>
      </c>
      <c r="L2" s="191" t="s">
        <v>3</v>
      </c>
      <c r="M2" s="179" t="s">
        <v>9</v>
      </c>
      <c r="N2" s="179"/>
      <c r="O2" s="179"/>
      <c r="P2" s="179"/>
      <c r="Q2" s="184" t="s">
        <v>10</v>
      </c>
      <c r="R2" s="182"/>
      <c r="S2" s="182"/>
      <c r="T2" s="183"/>
      <c r="U2" s="186" t="s">
        <v>7</v>
      </c>
      <c r="W2" s="191" t="s">
        <v>3</v>
      </c>
      <c r="X2" s="179" t="s">
        <v>9</v>
      </c>
      <c r="Y2" s="179"/>
      <c r="Z2" s="179"/>
      <c r="AA2" s="179"/>
      <c r="AB2" s="184" t="s">
        <v>10</v>
      </c>
      <c r="AC2" s="182"/>
      <c r="AD2" s="182"/>
      <c r="AE2" s="183"/>
      <c r="AF2" s="186" t="s">
        <v>7</v>
      </c>
      <c r="AH2" s="191" t="s">
        <v>3</v>
      </c>
      <c r="AI2" s="179" t="s">
        <v>9</v>
      </c>
      <c r="AJ2" s="179"/>
      <c r="AK2" s="179"/>
      <c r="AL2" s="179"/>
      <c r="AM2" s="184" t="s">
        <v>10</v>
      </c>
      <c r="AN2" s="182"/>
      <c r="AO2" s="182"/>
      <c r="AP2" s="183"/>
      <c r="AQ2" s="186" t="s">
        <v>7</v>
      </c>
    </row>
    <row r="3" spans="1:43" ht="14.45" customHeight="1" thickBot="1" x14ac:dyDescent="0.3">
      <c r="A3" s="193"/>
      <c r="B3" s="85" t="s">
        <v>4</v>
      </c>
      <c r="C3" s="8" t="s">
        <v>5</v>
      </c>
      <c r="D3" s="69" t="s">
        <v>17</v>
      </c>
      <c r="E3" s="71" t="s">
        <v>6</v>
      </c>
      <c r="F3" s="72" t="s">
        <v>4</v>
      </c>
      <c r="G3" s="8" t="s">
        <v>5</v>
      </c>
      <c r="H3" s="69" t="s">
        <v>17</v>
      </c>
      <c r="I3" s="73" t="s">
        <v>6</v>
      </c>
      <c r="J3" s="187"/>
      <c r="L3" s="193"/>
      <c r="M3" s="85" t="s">
        <v>4</v>
      </c>
      <c r="N3" s="8" t="s">
        <v>5</v>
      </c>
      <c r="O3" s="69" t="s">
        <v>17</v>
      </c>
      <c r="P3" s="71" t="s">
        <v>6</v>
      </c>
      <c r="Q3" s="72" t="s">
        <v>4</v>
      </c>
      <c r="R3" s="8" t="s">
        <v>5</v>
      </c>
      <c r="S3" s="69" t="s">
        <v>17</v>
      </c>
      <c r="T3" s="73" t="s">
        <v>6</v>
      </c>
      <c r="U3" s="187"/>
      <c r="W3" s="193"/>
      <c r="X3" s="85" t="s">
        <v>4</v>
      </c>
      <c r="Y3" s="8" t="s">
        <v>5</v>
      </c>
      <c r="Z3" s="69" t="s">
        <v>17</v>
      </c>
      <c r="AA3" s="71" t="s">
        <v>6</v>
      </c>
      <c r="AB3" s="72" t="s">
        <v>4</v>
      </c>
      <c r="AC3" s="8" t="s">
        <v>5</v>
      </c>
      <c r="AD3" s="69" t="s">
        <v>17</v>
      </c>
      <c r="AE3" s="73" t="s">
        <v>6</v>
      </c>
      <c r="AF3" s="187"/>
      <c r="AH3" s="193"/>
      <c r="AI3" s="85" t="s">
        <v>4</v>
      </c>
      <c r="AJ3" s="8" t="s">
        <v>5</v>
      </c>
      <c r="AK3" s="69" t="s">
        <v>17</v>
      </c>
      <c r="AL3" s="71" t="s">
        <v>6</v>
      </c>
      <c r="AM3" s="72" t="s">
        <v>4</v>
      </c>
      <c r="AN3" s="8" t="s">
        <v>5</v>
      </c>
      <c r="AO3" s="69" t="s">
        <v>17</v>
      </c>
      <c r="AP3" s="73" t="s">
        <v>6</v>
      </c>
      <c r="AQ3" s="194"/>
    </row>
    <row r="4" spans="1:43" ht="14.45" customHeight="1" x14ac:dyDescent="0.25">
      <c r="A4" s="55">
        <v>2</v>
      </c>
      <c r="B4" s="86">
        <f>46+24+18</f>
        <v>88</v>
      </c>
      <c r="C4" s="5">
        <f>27+10+15</f>
        <v>52</v>
      </c>
      <c r="D4" s="63">
        <f>SUM(B4:C4)</f>
        <v>140</v>
      </c>
      <c r="E4" s="27">
        <f t="shared" ref="E4:E16" si="0">C4/B4</f>
        <v>0.59090909090909094</v>
      </c>
      <c r="F4" s="76">
        <f>31+25+3</f>
        <v>59</v>
      </c>
      <c r="G4" s="9">
        <f>3+4+3</f>
        <v>10</v>
      </c>
      <c r="H4" s="63">
        <f>SUM(F4:G4)</f>
        <v>69</v>
      </c>
      <c r="I4" s="11">
        <f t="shared" ref="I4:I16" si="1">G4/F4</f>
        <v>0.16949152542372881</v>
      </c>
      <c r="J4" s="165">
        <f>I4/E4</f>
        <v>0.28683181225554105</v>
      </c>
      <c r="L4" s="90">
        <v>5</v>
      </c>
      <c r="M4" s="89">
        <f>20+22+17</f>
        <v>59</v>
      </c>
      <c r="N4" s="9">
        <f>12+16+7</f>
        <v>35</v>
      </c>
      <c r="O4" s="63">
        <f>SUM(M4:N4)</f>
        <v>94</v>
      </c>
      <c r="P4" s="33">
        <f t="shared" ref="P4:P35" si="2">N4/M4</f>
        <v>0.59322033898305082</v>
      </c>
      <c r="Q4" s="76">
        <f>11+7</f>
        <v>18</v>
      </c>
      <c r="R4" s="9">
        <f>11+10</f>
        <v>21</v>
      </c>
      <c r="S4" s="63">
        <f>SUM(Q4:R4)</f>
        <v>39</v>
      </c>
      <c r="T4" s="11">
        <f t="shared" ref="T4:T34" si="3">R4/Q4</f>
        <v>1.1666666666666667</v>
      </c>
      <c r="U4" s="169">
        <f t="shared" ref="U4:U35" si="4">T4/P4</f>
        <v>1.9666666666666668</v>
      </c>
      <c r="W4" s="111">
        <v>3</v>
      </c>
      <c r="X4" s="58">
        <f>37+10</f>
        <v>47</v>
      </c>
      <c r="Y4" s="58">
        <f>17+4</f>
        <v>21</v>
      </c>
      <c r="Z4" s="63">
        <f>SUM(X4:Y4)</f>
        <v>68</v>
      </c>
      <c r="AA4" s="59">
        <f t="shared" ref="AA4:AA5" si="5">Y4/X4</f>
        <v>0.44680851063829785</v>
      </c>
      <c r="AB4" s="110">
        <f>25+12</f>
        <v>37</v>
      </c>
      <c r="AC4" s="58">
        <v>0</v>
      </c>
      <c r="AD4" s="63">
        <f>SUM(AB4:AC4)</f>
        <v>37</v>
      </c>
      <c r="AE4" s="52">
        <f t="shared" ref="AE4:AE7" si="6">AC4/AB4</f>
        <v>0</v>
      </c>
      <c r="AF4" s="173">
        <f>AE4/AA4</f>
        <v>0</v>
      </c>
      <c r="AH4" s="90">
        <v>1</v>
      </c>
      <c r="AI4" s="86">
        <v>69</v>
      </c>
      <c r="AJ4" s="5">
        <v>31</v>
      </c>
      <c r="AK4" s="63">
        <f>SUM(AI4:AJ4)</f>
        <v>100</v>
      </c>
      <c r="AL4" s="27">
        <f t="shared" ref="AL4:AL10" si="7">AJ4/AI4</f>
        <v>0.44927536231884058</v>
      </c>
      <c r="AM4" s="76">
        <v>40</v>
      </c>
      <c r="AN4" s="9">
        <v>0</v>
      </c>
      <c r="AO4" s="63">
        <f>SUM(AM4:AN4)</f>
        <v>40</v>
      </c>
      <c r="AP4" s="11">
        <f t="shared" ref="AP4:AP10" si="8">AN4/AM4</f>
        <v>0</v>
      </c>
      <c r="AQ4" s="166">
        <f t="shared" ref="AQ4:AQ31" si="9">AP4/AL4</f>
        <v>0</v>
      </c>
    </row>
    <row r="5" spans="1:43" ht="14.45" customHeight="1" x14ac:dyDescent="0.25">
      <c r="A5" s="56">
        <v>3</v>
      </c>
      <c r="B5" s="86">
        <f>51+16+15</f>
        <v>82</v>
      </c>
      <c r="C5" s="5">
        <f>32+10+12</f>
        <v>54</v>
      </c>
      <c r="D5" s="5">
        <f t="shared" ref="D5:D25" si="10">SUM(B5:C5)</f>
        <v>136</v>
      </c>
      <c r="E5" s="27">
        <f t="shared" si="0"/>
        <v>0.65853658536585369</v>
      </c>
      <c r="F5" s="74">
        <f>34+26+15</f>
        <v>75</v>
      </c>
      <c r="G5" s="5">
        <f>11+4+7</f>
        <v>22</v>
      </c>
      <c r="H5" s="5">
        <f t="shared" ref="H5:H25" si="11">SUM(F5:G5)</f>
        <v>97</v>
      </c>
      <c r="I5" s="12">
        <f t="shared" si="1"/>
        <v>0.29333333333333333</v>
      </c>
      <c r="J5" s="166">
        <f t="shared" ref="J5:J25" si="12">I5/E5</f>
        <v>0.44543209876543211</v>
      </c>
      <c r="L5" s="82">
        <v>8</v>
      </c>
      <c r="M5" s="86">
        <f>7+49+13+39</f>
        <v>108</v>
      </c>
      <c r="N5" s="5">
        <f>12+33+1+18</f>
        <v>64</v>
      </c>
      <c r="O5" s="5">
        <f t="shared" ref="O5:O35" si="13">SUM(M5:N5)</f>
        <v>172</v>
      </c>
      <c r="P5" s="27">
        <f t="shared" si="2"/>
        <v>0.59259259259259256</v>
      </c>
      <c r="Q5" s="74">
        <f>7+35+20</f>
        <v>62</v>
      </c>
      <c r="R5" s="5">
        <f>16+30+14</f>
        <v>60</v>
      </c>
      <c r="S5" s="5">
        <f t="shared" ref="S5:S35" si="14">SUM(Q5:R5)</f>
        <v>122</v>
      </c>
      <c r="T5" s="12">
        <f t="shared" si="3"/>
        <v>0.967741935483871</v>
      </c>
      <c r="U5" s="170">
        <f t="shared" si="4"/>
        <v>1.6330645161290325</v>
      </c>
      <c r="W5" s="88">
        <v>4</v>
      </c>
      <c r="X5" s="46">
        <f>33+21+14</f>
        <v>68</v>
      </c>
      <c r="Y5" s="46">
        <f>27+14+3</f>
        <v>44</v>
      </c>
      <c r="Z5" s="5">
        <f t="shared" ref="Z5:Z27" si="15">SUM(X5:Y5)</f>
        <v>112</v>
      </c>
      <c r="AA5" s="47">
        <f t="shared" si="5"/>
        <v>0.6470588235294118</v>
      </c>
      <c r="AB5" s="80">
        <f>28+12+1</f>
        <v>41</v>
      </c>
      <c r="AC5" s="46">
        <v>0</v>
      </c>
      <c r="AD5" s="5">
        <f t="shared" ref="AD5:AD27" si="16">SUM(AB5:AC5)</f>
        <v>41</v>
      </c>
      <c r="AE5" s="48">
        <f t="shared" si="6"/>
        <v>0</v>
      </c>
      <c r="AF5" s="174">
        <f t="shared" ref="AF5:AF27" si="17">AE5/AA5</f>
        <v>0</v>
      </c>
      <c r="AH5" s="82">
        <v>2</v>
      </c>
      <c r="AI5" s="86">
        <v>78</v>
      </c>
      <c r="AJ5" s="5">
        <v>24</v>
      </c>
      <c r="AK5" s="5">
        <f t="shared" ref="AK5:AK31" si="18">SUM(AI5:AJ5)</f>
        <v>102</v>
      </c>
      <c r="AL5" s="27">
        <f t="shared" si="7"/>
        <v>0.30769230769230771</v>
      </c>
      <c r="AM5" s="74">
        <v>70</v>
      </c>
      <c r="AN5" s="5">
        <v>0</v>
      </c>
      <c r="AO5" s="5">
        <f t="shared" ref="AO5:AO31" si="19">SUM(AM5:AN5)</f>
        <v>70</v>
      </c>
      <c r="AP5" s="12">
        <f t="shared" si="8"/>
        <v>0</v>
      </c>
      <c r="AQ5" s="166">
        <f t="shared" si="9"/>
        <v>0</v>
      </c>
    </row>
    <row r="6" spans="1:43" ht="14.45" customHeight="1" x14ac:dyDescent="0.25">
      <c r="A6" s="56">
        <v>6</v>
      </c>
      <c r="B6" s="86">
        <f>36+18+17</f>
        <v>71</v>
      </c>
      <c r="C6" s="5">
        <f>29+9+10</f>
        <v>48</v>
      </c>
      <c r="D6" s="5">
        <f t="shared" si="10"/>
        <v>119</v>
      </c>
      <c r="E6" s="27">
        <f t="shared" si="0"/>
        <v>0.676056338028169</v>
      </c>
      <c r="F6" s="74">
        <f>45+26+26</f>
        <v>97</v>
      </c>
      <c r="G6" s="5">
        <f>8+21+23</f>
        <v>52</v>
      </c>
      <c r="H6" s="5">
        <f t="shared" si="11"/>
        <v>149</v>
      </c>
      <c r="I6" s="12">
        <f t="shared" si="1"/>
        <v>0.53608247422680411</v>
      </c>
      <c r="J6" s="166">
        <f t="shared" si="12"/>
        <v>0.79295532646048106</v>
      </c>
      <c r="L6" s="82">
        <v>4</v>
      </c>
      <c r="M6" s="86">
        <f>12+17+10</f>
        <v>39</v>
      </c>
      <c r="N6" s="5">
        <f>5+8+3</f>
        <v>16</v>
      </c>
      <c r="O6" s="5">
        <f t="shared" si="13"/>
        <v>55</v>
      </c>
      <c r="P6" s="27">
        <f t="shared" si="2"/>
        <v>0.41025641025641024</v>
      </c>
      <c r="Q6" s="74">
        <f>24+20</f>
        <v>44</v>
      </c>
      <c r="R6" s="5">
        <f>14+14</f>
        <v>28</v>
      </c>
      <c r="S6" s="5">
        <f t="shared" si="14"/>
        <v>72</v>
      </c>
      <c r="T6" s="12">
        <f t="shared" si="3"/>
        <v>0.63636363636363635</v>
      </c>
      <c r="U6" s="170">
        <f t="shared" si="4"/>
        <v>1.5511363636363638</v>
      </c>
      <c r="W6" s="88">
        <v>8</v>
      </c>
      <c r="X6" s="46">
        <f>38+31+15</f>
        <v>84</v>
      </c>
      <c r="Y6" s="46">
        <f>36+5+3</f>
        <v>44</v>
      </c>
      <c r="Z6" s="5">
        <f t="shared" si="15"/>
        <v>128</v>
      </c>
      <c r="AA6" s="47">
        <f>Y6/X6</f>
        <v>0.52380952380952384</v>
      </c>
      <c r="AB6" s="80">
        <f>34+29+22</f>
        <v>85</v>
      </c>
      <c r="AC6" s="46">
        <v>0</v>
      </c>
      <c r="AD6" s="5">
        <f t="shared" si="16"/>
        <v>85</v>
      </c>
      <c r="AE6" s="48">
        <f t="shared" si="6"/>
        <v>0</v>
      </c>
      <c r="AF6" s="174">
        <f t="shared" si="17"/>
        <v>0</v>
      </c>
      <c r="AH6" s="83">
        <v>3</v>
      </c>
      <c r="AI6" s="86">
        <v>71</v>
      </c>
      <c r="AJ6" s="5">
        <v>20</v>
      </c>
      <c r="AK6" s="5">
        <f t="shared" si="18"/>
        <v>91</v>
      </c>
      <c r="AL6" s="27">
        <f t="shared" si="7"/>
        <v>0.28169014084507044</v>
      </c>
      <c r="AM6" s="74">
        <v>73</v>
      </c>
      <c r="AN6" s="5">
        <v>0</v>
      </c>
      <c r="AO6" s="5">
        <f t="shared" si="19"/>
        <v>73</v>
      </c>
      <c r="AP6" s="12">
        <f t="shared" si="8"/>
        <v>0</v>
      </c>
      <c r="AQ6" s="166">
        <f t="shared" si="9"/>
        <v>0</v>
      </c>
    </row>
    <row r="7" spans="1:43" ht="14.45" customHeight="1" x14ac:dyDescent="0.25">
      <c r="A7" s="56">
        <v>8</v>
      </c>
      <c r="B7" s="86">
        <f>45+16+21</f>
        <v>82</v>
      </c>
      <c r="C7" s="5">
        <f>21+7+6</f>
        <v>34</v>
      </c>
      <c r="D7" s="5">
        <f t="shared" si="10"/>
        <v>116</v>
      </c>
      <c r="E7" s="27">
        <f t="shared" si="0"/>
        <v>0.41463414634146339</v>
      </c>
      <c r="F7" s="74">
        <f>40+30+26</f>
        <v>96</v>
      </c>
      <c r="G7" s="5">
        <f>1+5+8</f>
        <v>14</v>
      </c>
      <c r="H7" s="5">
        <f t="shared" si="11"/>
        <v>110</v>
      </c>
      <c r="I7" s="12">
        <f t="shared" si="1"/>
        <v>0.14583333333333334</v>
      </c>
      <c r="J7" s="166">
        <f t="shared" si="12"/>
        <v>0.35171568627450983</v>
      </c>
      <c r="L7" s="82">
        <v>9</v>
      </c>
      <c r="M7" s="86">
        <f>10+51+17+19</f>
        <v>97</v>
      </c>
      <c r="N7" s="5">
        <f>12+26+6+10</f>
        <v>54</v>
      </c>
      <c r="O7" s="5">
        <f t="shared" si="13"/>
        <v>151</v>
      </c>
      <c r="P7" s="27">
        <f t="shared" si="2"/>
        <v>0.55670103092783507</v>
      </c>
      <c r="Q7" s="74">
        <f>8+47+16</f>
        <v>71</v>
      </c>
      <c r="R7" s="5">
        <f>15+30+8</f>
        <v>53</v>
      </c>
      <c r="S7" s="5">
        <f t="shared" si="14"/>
        <v>124</v>
      </c>
      <c r="T7" s="12">
        <f t="shared" si="3"/>
        <v>0.74647887323943662</v>
      </c>
      <c r="U7" s="166">
        <f t="shared" si="4"/>
        <v>1.3408972352634323</v>
      </c>
      <c r="W7" s="88">
        <v>9</v>
      </c>
      <c r="X7" s="46">
        <f>56+28+4</f>
        <v>88</v>
      </c>
      <c r="Y7" s="46">
        <f>17+7+1</f>
        <v>25</v>
      </c>
      <c r="Z7" s="5">
        <f t="shared" si="15"/>
        <v>113</v>
      </c>
      <c r="AA7" s="47">
        <f>Y7/X7</f>
        <v>0.28409090909090912</v>
      </c>
      <c r="AB7" s="80">
        <f>12+10</f>
        <v>22</v>
      </c>
      <c r="AC7" s="46">
        <v>0</v>
      </c>
      <c r="AD7" s="5">
        <f t="shared" si="16"/>
        <v>22</v>
      </c>
      <c r="AE7" s="48">
        <f t="shared" si="6"/>
        <v>0</v>
      </c>
      <c r="AF7" s="174">
        <f t="shared" si="17"/>
        <v>0</v>
      </c>
      <c r="AH7" s="82">
        <v>4</v>
      </c>
      <c r="AI7" s="86">
        <v>96</v>
      </c>
      <c r="AJ7" s="5">
        <v>28</v>
      </c>
      <c r="AK7" s="5">
        <f t="shared" si="18"/>
        <v>124</v>
      </c>
      <c r="AL7" s="27">
        <f t="shared" si="7"/>
        <v>0.29166666666666669</v>
      </c>
      <c r="AM7" s="74">
        <v>59</v>
      </c>
      <c r="AN7" s="5">
        <v>0</v>
      </c>
      <c r="AO7" s="5">
        <f t="shared" si="19"/>
        <v>59</v>
      </c>
      <c r="AP7" s="12">
        <f t="shared" si="8"/>
        <v>0</v>
      </c>
      <c r="AQ7" s="166">
        <f t="shared" si="9"/>
        <v>0</v>
      </c>
    </row>
    <row r="8" spans="1:43" x14ac:dyDescent="0.25">
      <c r="A8" s="56">
        <v>2</v>
      </c>
      <c r="B8" s="86">
        <f>29+32+33</f>
        <v>94</v>
      </c>
      <c r="C8" s="5">
        <f>6+22+20</f>
        <v>48</v>
      </c>
      <c r="D8" s="5">
        <f t="shared" si="10"/>
        <v>142</v>
      </c>
      <c r="E8" s="27">
        <f t="shared" si="0"/>
        <v>0.51063829787234039</v>
      </c>
      <c r="F8" s="74">
        <f>63+14</f>
        <v>77</v>
      </c>
      <c r="G8" s="5">
        <f>7</f>
        <v>7</v>
      </c>
      <c r="H8" s="5">
        <f t="shared" si="11"/>
        <v>84</v>
      </c>
      <c r="I8" s="12">
        <f t="shared" si="1"/>
        <v>9.0909090909090912E-2</v>
      </c>
      <c r="J8" s="166">
        <f t="shared" si="12"/>
        <v>0.17803030303030304</v>
      </c>
      <c r="L8" s="82">
        <v>5</v>
      </c>
      <c r="M8" s="86">
        <f>13+47+17+27</f>
        <v>104</v>
      </c>
      <c r="N8" s="5">
        <f>16+22+2+17</f>
        <v>57</v>
      </c>
      <c r="O8" s="5">
        <f t="shared" si="13"/>
        <v>161</v>
      </c>
      <c r="P8" s="27">
        <f t="shared" si="2"/>
        <v>0.54807692307692313</v>
      </c>
      <c r="Q8" s="74">
        <f>10+40+38</f>
        <v>88</v>
      </c>
      <c r="R8" s="5">
        <f>19+33+11</f>
        <v>63</v>
      </c>
      <c r="S8" s="5">
        <f t="shared" si="14"/>
        <v>151</v>
      </c>
      <c r="T8" s="12">
        <f t="shared" si="3"/>
        <v>0.71590909090909094</v>
      </c>
      <c r="U8" s="166">
        <f t="shared" si="4"/>
        <v>1.3062200956937799</v>
      </c>
      <c r="W8" s="88">
        <v>1</v>
      </c>
      <c r="X8" s="46">
        <v>124</v>
      </c>
      <c r="Y8" s="46">
        <v>63</v>
      </c>
      <c r="Z8" s="5">
        <f t="shared" si="15"/>
        <v>187</v>
      </c>
      <c r="AA8" s="47">
        <f t="shared" ref="AA8:AA14" si="20">Y8/X8</f>
        <v>0.50806451612903225</v>
      </c>
      <c r="AB8" s="80">
        <v>111</v>
      </c>
      <c r="AC8" s="46">
        <v>0</v>
      </c>
      <c r="AD8" s="5">
        <f t="shared" si="16"/>
        <v>111</v>
      </c>
      <c r="AE8" s="48">
        <f>AC8/AB8</f>
        <v>0</v>
      </c>
      <c r="AF8" s="174">
        <f t="shared" si="17"/>
        <v>0</v>
      </c>
      <c r="AH8" s="82">
        <v>5</v>
      </c>
      <c r="AI8" s="86">
        <v>78</v>
      </c>
      <c r="AJ8" s="5">
        <v>28</v>
      </c>
      <c r="AK8" s="5">
        <f t="shared" si="18"/>
        <v>106</v>
      </c>
      <c r="AL8" s="27">
        <f t="shared" si="7"/>
        <v>0.35897435897435898</v>
      </c>
      <c r="AM8" s="74">
        <v>54</v>
      </c>
      <c r="AN8" s="5">
        <v>0</v>
      </c>
      <c r="AO8" s="5">
        <f t="shared" si="19"/>
        <v>54</v>
      </c>
      <c r="AP8" s="12">
        <f t="shared" si="8"/>
        <v>0</v>
      </c>
      <c r="AQ8" s="166">
        <f t="shared" si="9"/>
        <v>0</v>
      </c>
    </row>
    <row r="9" spans="1:43" x14ac:dyDescent="0.25">
      <c r="A9" s="56">
        <v>3</v>
      </c>
      <c r="B9" s="86">
        <f>20+17+4</f>
        <v>41</v>
      </c>
      <c r="C9" s="5">
        <f>12+11+2</f>
        <v>25</v>
      </c>
      <c r="D9" s="5">
        <f t="shared" si="10"/>
        <v>66</v>
      </c>
      <c r="E9" s="27">
        <f t="shared" si="0"/>
        <v>0.6097560975609756</v>
      </c>
      <c r="F9" s="74">
        <f>26</f>
        <v>26</v>
      </c>
      <c r="G9" s="5">
        <f>3</f>
        <v>3</v>
      </c>
      <c r="H9" s="5">
        <f t="shared" si="11"/>
        <v>29</v>
      </c>
      <c r="I9" s="12">
        <f t="shared" si="1"/>
        <v>0.11538461538461539</v>
      </c>
      <c r="J9" s="166">
        <f t="shared" si="12"/>
        <v>0.18923076923076926</v>
      </c>
      <c r="L9" s="82">
        <v>10</v>
      </c>
      <c r="M9" s="86">
        <f>24+54+13</f>
        <v>91</v>
      </c>
      <c r="N9" s="5">
        <f>12+25+2</f>
        <v>39</v>
      </c>
      <c r="O9" s="5">
        <f t="shared" si="13"/>
        <v>130</v>
      </c>
      <c r="P9" s="27">
        <f t="shared" si="2"/>
        <v>0.42857142857142855</v>
      </c>
      <c r="Q9" s="74">
        <f>79+1</f>
        <v>80</v>
      </c>
      <c r="R9" s="5">
        <f>44</f>
        <v>44</v>
      </c>
      <c r="S9" s="5">
        <f t="shared" si="14"/>
        <v>124</v>
      </c>
      <c r="T9" s="12">
        <f t="shared" si="3"/>
        <v>0.55000000000000004</v>
      </c>
      <c r="U9" s="166">
        <f t="shared" si="4"/>
        <v>1.2833333333333334</v>
      </c>
      <c r="W9" s="88">
        <v>2</v>
      </c>
      <c r="X9" s="46">
        <v>72</v>
      </c>
      <c r="Y9" s="46">
        <v>31</v>
      </c>
      <c r="Z9" s="5">
        <f t="shared" si="15"/>
        <v>103</v>
      </c>
      <c r="AA9" s="47">
        <f t="shared" si="20"/>
        <v>0.43055555555555558</v>
      </c>
      <c r="AB9" s="80">
        <v>93</v>
      </c>
      <c r="AC9" s="46">
        <v>0</v>
      </c>
      <c r="AD9" s="5">
        <f t="shared" si="16"/>
        <v>93</v>
      </c>
      <c r="AE9" s="48">
        <f>AC9/AB9</f>
        <v>0</v>
      </c>
      <c r="AF9" s="174">
        <f t="shared" si="17"/>
        <v>0</v>
      </c>
      <c r="AH9" s="82">
        <v>6</v>
      </c>
      <c r="AI9" s="86">
        <v>98</v>
      </c>
      <c r="AJ9" s="5">
        <v>18</v>
      </c>
      <c r="AK9" s="5">
        <f t="shared" si="18"/>
        <v>116</v>
      </c>
      <c r="AL9" s="27">
        <f t="shared" si="7"/>
        <v>0.18367346938775511</v>
      </c>
      <c r="AM9" s="74">
        <v>82</v>
      </c>
      <c r="AN9" s="5">
        <v>0</v>
      </c>
      <c r="AO9" s="5">
        <f t="shared" si="19"/>
        <v>82</v>
      </c>
      <c r="AP9" s="12">
        <f t="shared" si="8"/>
        <v>0</v>
      </c>
      <c r="AQ9" s="166">
        <f t="shared" si="9"/>
        <v>0</v>
      </c>
    </row>
    <row r="10" spans="1:43" x14ac:dyDescent="0.25">
      <c r="A10" s="56">
        <v>4</v>
      </c>
      <c r="B10" s="86">
        <f>29+41+30</f>
        <v>100</v>
      </c>
      <c r="C10" s="5">
        <f>9+28+21</f>
        <v>58</v>
      </c>
      <c r="D10" s="5">
        <f t="shared" si="10"/>
        <v>158</v>
      </c>
      <c r="E10" s="27">
        <f t="shared" si="0"/>
        <v>0.57999999999999996</v>
      </c>
      <c r="F10" s="74">
        <f>45+3</f>
        <v>48</v>
      </c>
      <c r="G10" s="5">
        <f>16</f>
        <v>16</v>
      </c>
      <c r="H10" s="5">
        <f t="shared" si="11"/>
        <v>64</v>
      </c>
      <c r="I10" s="12">
        <f t="shared" si="1"/>
        <v>0.33333333333333331</v>
      </c>
      <c r="J10" s="166">
        <f t="shared" si="12"/>
        <v>0.57471264367816088</v>
      </c>
      <c r="L10" s="82">
        <v>8</v>
      </c>
      <c r="M10" s="86">
        <f>18+34+12</f>
        <v>64</v>
      </c>
      <c r="N10" s="5">
        <f>15+14+10</f>
        <v>39</v>
      </c>
      <c r="O10" s="5">
        <f t="shared" si="13"/>
        <v>103</v>
      </c>
      <c r="P10" s="27">
        <f t="shared" si="2"/>
        <v>0.609375</v>
      </c>
      <c r="Q10" s="74">
        <f>5+13</f>
        <v>18</v>
      </c>
      <c r="R10" s="5">
        <f>12+2</f>
        <v>14</v>
      </c>
      <c r="S10" s="5">
        <f t="shared" si="14"/>
        <v>32</v>
      </c>
      <c r="T10" s="12">
        <f t="shared" si="3"/>
        <v>0.77777777777777779</v>
      </c>
      <c r="U10" s="166">
        <f t="shared" si="4"/>
        <v>1.2763532763532763</v>
      </c>
      <c r="W10" s="88">
        <v>3</v>
      </c>
      <c r="X10" s="46">
        <v>114</v>
      </c>
      <c r="Y10" s="46">
        <v>90</v>
      </c>
      <c r="Z10" s="5">
        <f t="shared" si="15"/>
        <v>204</v>
      </c>
      <c r="AA10" s="47">
        <f t="shared" si="20"/>
        <v>0.78947368421052633</v>
      </c>
      <c r="AB10" s="80">
        <v>85</v>
      </c>
      <c r="AC10" s="46">
        <v>0</v>
      </c>
      <c r="AD10" s="5">
        <f t="shared" si="16"/>
        <v>85</v>
      </c>
      <c r="AE10" s="48">
        <f>AC10/AB10</f>
        <v>0</v>
      </c>
      <c r="AF10" s="174">
        <f t="shared" si="17"/>
        <v>0</v>
      </c>
      <c r="AH10" s="82">
        <v>7</v>
      </c>
      <c r="AI10" s="86">
        <v>70</v>
      </c>
      <c r="AJ10" s="5">
        <v>18</v>
      </c>
      <c r="AK10" s="5">
        <f t="shared" si="18"/>
        <v>88</v>
      </c>
      <c r="AL10" s="27">
        <f t="shared" si="7"/>
        <v>0.25714285714285712</v>
      </c>
      <c r="AM10" s="74">
        <v>23</v>
      </c>
      <c r="AN10" s="5">
        <v>0</v>
      </c>
      <c r="AO10" s="5">
        <f t="shared" si="19"/>
        <v>23</v>
      </c>
      <c r="AP10" s="12">
        <f t="shared" si="8"/>
        <v>0</v>
      </c>
      <c r="AQ10" s="166">
        <f t="shared" si="9"/>
        <v>0</v>
      </c>
    </row>
    <row r="11" spans="1:43" x14ac:dyDescent="0.25">
      <c r="A11" s="56">
        <v>5</v>
      </c>
      <c r="B11" s="86">
        <f>28+34+32</f>
        <v>94</v>
      </c>
      <c r="C11" s="5">
        <f>7+19+18</f>
        <v>44</v>
      </c>
      <c r="D11" s="5">
        <f t="shared" si="10"/>
        <v>138</v>
      </c>
      <c r="E11" s="27">
        <f t="shared" si="0"/>
        <v>0.46808510638297873</v>
      </c>
      <c r="F11" s="74">
        <f>16+14</f>
        <v>30</v>
      </c>
      <c r="G11" s="5">
        <f>5</f>
        <v>5</v>
      </c>
      <c r="H11" s="5">
        <f t="shared" si="11"/>
        <v>35</v>
      </c>
      <c r="I11" s="12">
        <f t="shared" si="1"/>
        <v>0.16666666666666666</v>
      </c>
      <c r="J11" s="166">
        <f t="shared" si="12"/>
        <v>0.35606060606060602</v>
      </c>
      <c r="L11" s="82">
        <v>10</v>
      </c>
      <c r="M11" s="86">
        <f>12+1+17+11+8</f>
        <v>49</v>
      </c>
      <c r="N11" s="5">
        <f>4+8+4+4+7</f>
        <v>27</v>
      </c>
      <c r="O11" s="5">
        <f t="shared" si="13"/>
        <v>76</v>
      </c>
      <c r="P11" s="27">
        <f t="shared" si="2"/>
        <v>0.55102040816326525</v>
      </c>
      <c r="Q11" s="74">
        <f>12+44+6</f>
        <v>62</v>
      </c>
      <c r="R11" s="5">
        <f>17+23+3</f>
        <v>43</v>
      </c>
      <c r="S11" s="5">
        <f t="shared" si="14"/>
        <v>105</v>
      </c>
      <c r="T11" s="12">
        <f t="shared" si="3"/>
        <v>0.69354838709677424</v>
      </c>
      <c r="U11" s="166">
        <f t="shared" si="4"/>
        <v>1.258661887694146</v>
      </c>
      <c r="W11" s="88">
        <v>4</v>
      </c>
      <c r="X11" s="46">
        <v>51</v>
      </c>
      <c r="Y11" s="46">
        <v>28</v>
      </c>
      <c r="Z11" s="5">
        <f t="shared" si="15"/>
        <v>79</v>
      </c>
      <c r="AA11" s="47">
        <f t="shared" si="20"/>
        <v>0.5490196078431373</v>
      </c>
      <c r="AB11" s="80">
        <v>20</v>
      </c>
      <c r="AC11" s="46">
        <v>0</v>
      </c>
      <c r="AD11" s="5">
        <f t="shared" si="16"/>
        <v>20</v>
      </c>
      <c r="AE11" s="48">
        <f>AC11/AB11</f>
        <v>0</v>
      </c>
      <c r="AF11" s="174">
        <f t="shared" si="17"/>
        <v>0</v>
      </c>
      <c r="AH11" s="82">
        <v>8</v>
      </c>
      <c r="AI11" s="86">
        <v>76</v>
      </c>
      <c r="AJ11" s="5">
        <v>32</v>
      </c>
      <c r="AK11" s="5">
        <f t="shared" si="18"/>
        <v>108</v>
      </c>
      <c r="AL11" s="27">
        <f>AJ11/AI11</f>
        <v>0.42105263157894735</v>
      </c>
      <c r="AM11" s="74">
        <v>73</v>
      </c>
      <c r="AN11" s="5">
        <v>0</v>
      </c>
      <c r="AO11" s="5">
        <f t="shared" si="19"/>
        <v>73</v>
      </c>
      <c r="AP11" s="12">
        <f>AN11/AM11</f>
        <v>0</v>
      </c>
      <c r="AQ11" s="166">
        <f t="shared" si="9"/>
        <v>0</v>
      </c>
    </row>
    <row r="12" spans="1:43" x14ac:dyDescent="0.25">
      <c r="A12" s="56">
        <v>6</v>
      </c>
      <c r="B12" s="86">
        <f>11+44+15</f>
        <v>70</v>
      </c>
      <c r="C12" s="5">
        <f>1+29+7</f>
        <v>37</v>
      </c>
      <c r="D12" s="5">
        <f t="shared" si="10"/>
        <v>107</v>
      </c>
      <c r="E12" s="27">
        <f t="shared" si="0"/>
        <v>0.52857142857142858</v>
      </c>
      <c r="F12" s="74">
        <f>44+4</f>
        <v>48</v>
      </c>
      <c r="G12" s="5">
        <f>6</f>
        <v>6</v>
      </c>
      <c r="H12" s="5">
        <f t="shared" si="11"/>
        <v>54</v>
      </c>
      <c r="I12" s="12">
        <f t="shared" si="1"/>
        <v>0.125</v>
      </c>
      <c r="J12" s="166">
        <f t="shared" si="12"/>
        <v>0.23648648648648649</v>
      </c>
      <c r="L12" s="82">
        <v>2</v>
      </c>
      <c r="M12" s="86">
        <f>22+44+28</f>
        <v>94</v>
      </c>
      <c r="N12" s="5">
        <f>10+22+8</f>
        <v>40</v>
      </c>
      <c r="O12" s="5">
        <f t="shared" si="13"/>
        <v>134</v>
      </c>
      <c r="P12" s="27">
        <f t="shared" si="2"/>
        <v>0.42553191489361702</v>
      </c>
      <c r="Q12" s="74">
        <f>71+6</f>
        <v>77</v>
      </c>
      <c r="R12" s="5">
        <f>39+1</f>
        <v>40</v>
      </c>
      <c r="S12" s="5">
        <f t="shared" si="14"/>
        <v>117</v>
      </c>
      <c r="T12" s="12">
        <f t="shared" si="3"/>
        <v>0.51948051948051943</v>
      </c>
      <c r="U12" s="166">
        <f t="shared" si="4"/>
        <v>1.2207792207792207</v>
      </c>
      <c r="W12" s="88">
        <v>5</v>
      </c>
      <c r="X12" s="46">
        <v>118</v>
      </c>
      <c r="Y12" s="46">
        <v>63</v>
      </c>
      <c r="Z12" s="5">
        <f t="shared" si="15"/>
        <v>181</v>
      </c>
      <c r="AA12" s="47">
        <f t="shared" si="20"/>
        <v>0.53389830508474578</v>
      </c>
      <c r="AB12" s="80">
        <v>79</v>
      </c>
      <c r="AC12" s="46">
        <v>0</v>
      </c>
      <c r="AD12" s="5">
        <f t="shared" si="16"/>
        <v>79</v>
      </c>
      <c r="AE12" s="48">
        <v>0</v>
      </c>
      <c r="AF12" s="174">
        <f t="shared" si="17"/>
        <v>0</v>
      </c>
      <c r="AH12" s="82">
        <v>9</v>
      </c>
      <c r="AI12" s="86">
        <v>66</v>
      </c>
      <c r="AJ12" s="5">
        <v>30</v>
      </c>
      <c r="AK12" s="5">
        <f t="shared" si="18"/>
        <v>96</v>
      </c>
      <c r="AL12" s="27">
        <f>AJ12/AI12</f>
        <v>0.45454545454545453</v>
      </c>
      <c r="AM12" s="74">
        <v>42</v>
      </c>
      <c r="AN12" s="5">
        <v>0</v>
      </c>
      <c r="AO12" s="5">
        <f t="shared" si="19"/>
        <v>42</v>
      </c>
      <c r="AP12" s="12">
        <f>AN12/AM12</f>
        <v>0</v>
      </c>
      <c r="AQ12" s="166">
        <f t="shared" si="9"/>
        <v>0</v>
      </c>
    </row>
    <row r="13" spans="1:43" x14ac:dyDescent="0.25">
      <c r="A13" s="56">
        <v>7</v>
      </c>
      <c r="B13" s="86">
        <f>30+11</f>
        <v>41</v>
      </c>
      <c r="C13" s="5">
        <f>13+9</f>
        <v>22</v>
      </c>
      <c r="D13" s="5">
        <f t="shared" si="10"/>
        <v>63</v>
      </c>
      <c r="E13" s="27">
        <f t="shared" si="0"/>
        <v>0.53658536585365857</v>
      </c>
      <c r="F13" s="74">
        <f>20</f>
        <v>20</v>
      </c>
      <c r="G13" s="5">
        <f>6</f>
        <v>6</v>
      </c>
      <c r="H13" s="5">
        <f t="shared" si="11"/>
        <v>26</v>
      </c>
      <c r="I13" s="12">
        <f t="shared" si="1"/>
        <v>0.3</v>
      </c>
      <c r="J13" s="166">
        <f t="shared" si="12"/>
        <v>0.55909090909090908</v>
      </c>
      <c r="L13" s="82">
        <v>5</v>
      </c>
      <c r="M13" s="86">
        <f>12+51+46</f>
        <v>109</v>
      </c>
      <c r="N13" s="5">
        <f>14+32+14</f>
        <v>60</v>
      </c>
      <c r="O13" s="5">
        <f t="shared" si="13"/>
        <v>169</v>
      </c>
      <c r="P13" s="27">
        <f t="shared" si="2"/>
        <v>0.55045871559633031</v>
      </c>
      <c r="Q13" s="74">
        <f>74+2</f>
        <v>76</v>
      </c>
      <c r="R13" s="5">
        <f>50</f>
        <v>50</v>
      </c>
      <c r="S13" s="5">
        <f t="shared" si="14"/>
        <v>126</v>
      </c>
      <c r="T13" s="12">
        <f t="shared" si="3"/>
        <v>0.65789473684210531</v>
      </c>
      <c r="U13" s="166">
        <f t="shared" si="4"/>
        <v>1.1951754385964912</v>
      </c>
      <c r="W13" s="88">
        <v>6</v>
      </c>
      <c r="X13" s="46">
        <v>103</v>
      </c>
      <c r="Y13" s="46">
        <v>60</v>
      </c>
      <c r="Z13" s="5">
        <f t="shared" si="15"/>
        <v>163</v>
      </c>
      <c r="AA13" s="47">
        <f t="shared" si="20"/>
        <v>0.58252427184466016</v>
      </c>
      <c r="AB13" s="80">
        <v>103</v>
      </c>
      <c r="AC13" s="46">
        <v>0</v>
      </c>
      <c r="AD13" s="5">
        <f t="shared" si="16"/>
        <v>103</v>
      </c>
      <c r="AE13" s="48">
        <f t="shared" ref="AE13:AE21" si="21">AC13/AB13</f>
        <v>0</v>
      </c>
      <c r="AF13" s="174">
        <f t="shared" si="17"/>
        <v>0</v>
      </c>
      <c r="AH13" s="82">
        <v>10</v>
      </c>
      <c r="AI13" s="86">
        <v>95</v>
      </c>
      <c r="AJ13" s="5">
        <v>32</v>
      </c>
      <c r="AK13" s="5">
        <f t="shared" si="18"/>
        <v>127</v>
      </c>
      <c r="AL13" s="27">
        <f>AJ13/AI13</f>
        <v>0.33684210526315789</v>
      </c>
      <c r="AM13" s="74">
        <v>61</v>
      </c>
      <c r="AN13" s="5">
        <v>0</v>
      </c>
      <c r="AO13" s="5">
        <f t="shared" si="19"/>
        <v>61</v>
      </c>
      <c r="AP13" s="12">
        <f>AN13/AM13</f>
        <v>0</v>
      </c>
      <c r="AQ13" s="166">
        <f t="shared" si="9"/>
        <v>0</v>
      </c>
    </row>
    <row r="14" spans="1:43" x14ac:dyDescent="0.25">
      <c r="A14" s="56">
        <v>8</v>
      </c>
      <c r="B14" s="86">
        <f>26+24+24</f>
        <v>74</v>
      </c>
      <c r="C14" s="5">
        <f>13+15+12</f>
        <v>40</v>
      </c>
      <c r="D14" s="5">
        <f t="shared" si="10"/>
        <v>114</v>
      </c>
      <c r="E14" s="27">
        <f t="shared" si="0"/>
        <v>0.54054054054054057</v>
      </c>
      <c r="F14" s="74">
        <f>19+8</f>
        <v>27</v>
      </c>
      <c r="G14" s="5">
        <f>10</f>
        <v>10</v>
      </c>
      <c r="H14" s="5">
        <f t="shared" si="11"/>
        <v>37</v>
      </c>
      <c r="I14" s="12">
        <f t="shared" si="1"/>
        <v>0.37037037037037035</v>
      </c>
      <c r="J14" s="166">
        <f t="shared" si="12"/>
        <v>0.68518518518518512</v>
      </c>
      <c r="L14" s="82">
        <v>7</v>
      </c>
      <c r="M14" s="86">
        <f>16+16+8</f>
        <v>40</v>
      </c>
      <c r="N14" s="5">
        <f>5+13+8</f>
        <v>26</v>
      </c>
      <c r="O14" s="5">
        <f t="shared" si="13"/>
        <v>66</v>
      </c>
      <c r="P14" s="27">
        <f t="shared" si="2"/>
        <v>0.65</v>
      </c>
      <c r="Q14" s="74">
        <f>35+17</f>
        <v>52</v>
      </c>
      <c r="R14" s="5">
        <f>23+17</f>
        <v>40</v>
      </c>
      <c r="S14" s="5">
        <f t="shared" si="14"/>
        <v>92</v>
      </c>
      <c r="T14" s="12">
        <f t="shared" si="3"/>
        <v>0.76923076923076927</v>
      </c>
      <c r="U14" s="166">
        <f t="shared" si="4"/>
        <v>1.1834319526627219</v>
      </c>
      <c r="W14" s="88">
        <v>7</v>
      </c>
      <c r="X14" s="46">
        <v>26</v>
      </c>
      <c r="Y14" s="46">
        <v>11</v>
      </c>
      <c r="Z14" s="5">
        <f t="shared" si="15"/>
        <v>37</v>
      </c>
      <c r="AA14" s="47">
        <f t="shared" si="20"/>
        <v>0.42307692307692307</v>
      </c>
      <c r="AB14" s="80">
        <v>94</v>
      </c>
      <c r="AC14" s="46">
        <v>0</v>
      </c>
      <c r="AD14" s="5">
        <f t="shared" si="16"/>
        <v>94</v>
      </c>
      <c r="AE14" s="48">
        <f t="shared" si="21"/>
        <v>0</v>
      </c>
      <c r="AF14" s="174">
        <f t="shared" si="17"/>
        <v>0</v>
      </c>
      <c r="AH14" s="82">
        <v>1</v>
      </c>
      <c r="AI14" s="86">
        <v>68</v>
      </c>
      <c r="AJ14" s="5">
        <v>25</v>
      </c>
      <c r="AK14" s="5">
        <f t="shared" si="18"/>
        <v>93</v>
      </c>
      <c r="AL14" s="27">
        <f t="shared" ref="AL14:AL20" si="22">AJ14/AI14</f>
        <v>0.36764705882352944</v>
      </c>
      <c r="AM14" s="74">
        <v>55</v>
      </c>
      <c r="AN14" s="5">
        <v>0</v>
      </c>
      <c r="AO14" s="5">
        <f t="shared" si="19"/>
        <v>55</v>
      </c>
      <c r="AP14" s="12">
        <f t="shared" ref="AP14:AP20" si="23">AN14/AM14</f>
        <v>0</v>
      </c>
      <c r="AQ14" s="166">
        <f t="shared" si="9"/>
        <v>0</v>
      </c>
    </row>
    <row r="15" spans="1:43" x14ac:dyDescent="0.25">
      <c r="A15" s="56">
        <v>9</v>
      </c>
      <c r="B15" s="86">
        <f>16+6</f>
        <v>22</v>
      </c>
      <c r="C15" s="5">
        <f>5+5</f>
        <v>10</v>
      </c>
      <c r="D15" s="5">
        <f t="shared" si="10"/>
        <v>32</v>
      </c>
      <c r="E15" s="27">
        <f t="shared" si="0"/>
        <v>0.45454545454545453</v>
      </c>
      <c r="F15" s="74">
        <f>52+8</f>
        <v>60</v>
      </c>
      <c r="G15" s="5">
        <f>26+5</f>
        <v>31</v>
      </c>
      <c r="H15" s="5">
        <f t="shared" si="11"/>
        <v>91</v>
      </c>
      <c r="I15" s="12">
        <f t="shared" si="1"/>
        <v>0.51666666666666672</v>
      </c>
      <c r="J15" s="166">
        <f t="shared" si="12"/>
        <v>1.1366666666666667</v>
      </c>
      <c r="L15" s="82">
        <v>7</v>
      </c>
      <c r="M15" s="86">
        <f>5+47+12+20</f>
        <v>84</v>
      </c>
      <c r="N15" s="5">
        <f>12+32+12+8</f>
        <v>64</v>
      </c>
      <c r="O15" s="5">
        <f t="shared" si="13"/>
        <v>148</v>
      </c>
      <c r="P15" s="27">
        <f t="shared" si="2"/>
        <v>0.76190476190476186</v>
      </c>
      <c r="Q15" s="74">
        <f>9+28+10</f>
        <v>47</v>
      </c>
      <c r="R15" s="5">
        <f>13+17+12</f>
        <v>42</v>
      </c>
      <c r="S15" s="5">
        <f t="shared" si="14"/>
        <v>89</v>
      </c>
      <c r="T15" s="12">
        <f t="shared" si="3"/>
        <v>0.8936170212765957</v>
      </c>
      <c r="U15" s="166">
        <f t="shared" si="4"/>
        <v>1.1728723404255319</v>
      </c>
      <c r="W15" s="88">
        <v>8</v>
      </c>
      <c r="X15" s="46">
        <v>112</v>
      </c>
      <c r="Y15" s="46">
        <v>60</v>
      </c>
      <c r="Z15" s="5">
        <f t="shared" si="15"/>
        <v>172</v>
      </c>
      <c r="AA15" s="47">
        <f>Y15/X15</f>
        <v>0.5357142857142857</v>
      </c>
      <c r="AB15" s="80">
        <v>63</v>
      </c>
      <c r="AC15" s="46">
        <v>0</v>
      </c>
      <c r="AD15" s="5">
        <f t="shared" si="16"/>
        <v>63</v>
      </c>
      <c r="AE15" s="48">
        <f t="shared" si="21"/>
        <v>0</v>
      </c>
      <c r="AF15" s="174">
        <f t="shared" si="17"/>
        <v>0</v>
      </c>
      <c r="AH15" s="82">
        <v>2</v>
      </c>
      <c r="AI15" s="86">
        <v>66</v>
      </c>
      <c r="AJ15" s="5">
        <v>33</v>
      </c>
      <c r="AK15" s="5">
        <f t="shared" si="18"/>
        <v>99</v>
      </c>
      <c r="AL15" s="27">
        <f t="shared" si="22"/>
        <v>0.5</v>
      </c>
      <c r="AM15" s="74">
        <v>59</v>
      </c>
      <c r="AN15" s="5">
        <v>0</v>
      </c>
      <c r="AO15" s="5">
        <f t="shared" si="19"/>
        <v>59</v>
      </c>
      <c r="AP15" s="12">
        <f t="shared" si="23"/>
        <v>0</v>
      </c>
      <c r="AQ15" s="166">
        <f t="shared" si="9"/>
        <v>0</v>
      </c>
    </row>
    <row r="16" spans="1:43" x14ac:dyDescent="0.25">
      <c r="A16" s="56">
        <v>10</v>
      </c>
      <c r="B16" s="86">
        <f>33+38+11</f>
        <v>82</v>
      </c>
      <c r="C16" s="5">
        <f>7+12+16</f>
        <v>35</v>
      </c>
      <c r="D16" s="5">
        <f t="shared" si="10"/>
        <v>117</v>
      </c>
      <c r="E16" s="27">
        <f t="shared" si="0"/>
        <v>0.42682926829268292</v>
      </c>
      <c r="F16" s="74">
        <f>35</f>
        <v>35</v>
      </c>
      <c r="G16" s="5">
        <f>11</f>
        <v>11</v>
      </c>
      <c r="H16" s="5">
        <f t="shared" si="11"/>
        <v>46</v>
      </c>
      <c r="I16" s="12">
        <f t="shared" si="1"/>
        <v>0.31428571428571428</v>
      </c>
      <c r="J16" s="166">
        <f t="shared" si="12"/>
        <v>0.73632653061224485</v>
      </c>
      <c r="L16" s="82">
        <v>9</v>
      </c>
      <c r="M16" s="86">
        <f>9+15+3</f>
        <v>27</v>
      </c>
      <c r="N16" s="5">
        <f>10+2+5</f>
        <v>17</v>
      </c>
      <c r="O16" s="5">
        <f t="shared" si="13"/>
        <v>44</v>
      </c>
      <c r="P16" s="27">
        <f t="shared" si="2"/>
        <v>0.62962962962962965</v>
      </c>
      <c r="Q16" s="74">
        <f>17+8</f>
        <v>25</v>
      </c>
      <c r="R16" s="5">
        <f>13+5</f>
        <v>18</v>
      </c>
      <c r="S16" s="5">
        <f t="shared" si="14"/>
        <v>43</v>
      </c>
      <c r="T16" s="12">
        <f t="shared" si="3"/>
        <v>0.72</v>
      </c>
      <c r="U16" s="166">
        <f t="shared" si="4"/>
        <v>1.1435294117647059</v>
      </c>
      <c r="W16" s="88">
        <v>9</v>
      </c>
      <c r="X16" s="46">
        <v>69</v>
      </c>
      <c r="Y16" s="46">
        <v>43</v>
      </c>
      <c r="Z16" s="5">
        <f t="shared" si="15"/>
        <v>112</v>
      </c>
      <c r="AA16" s="47">
        <f>Y16/X16</f>
        <v>0.62318840579710144</v>
      </c>
      <c r="AB16" s="80">
        <v>73</v>
      </c>
      <c r="AC16" s="46">
        <v>0</v>
      </c>
      <c r="AD16" s="5">
        <f t="shared" si="16"/>
        <v>73</v>
      </c>
      <c r="AE16" s="48">
        <f t="shared" si="21"/>
        <v>0</v>
      </c>
      <c r="AF16" s="174">
        <f t="shared" si="17"/>
        <v>0</v>
      </c>
      <c r="AH16" s="83">
        <v>3</v>
      </c>
      <c r="AI16" s="86">
        <v>67</v>
      </c>
      <c r="AJ16" s="5">
        <v>21</v>
      </c>
      <c r="AK16" s="5">
        <f t="shared" si="18"/>
        <v>88</v>
      </c>
      <c r="AL16" s="27">
        <f t="shared" si="22"/>
        <v>0.31343283582089554</v>
      </c>
      <c r="AM16" s="74">
        <v>71</v>
      </c>
      <c r="AN16" s="5">
        <v>0</v>
      </c>
      <c r="AO16" s="5">
        <f t="shared" si="19"/>
        <v>71</v>
      </c>
      <c r="AP16" s="12">
        <f t="shared" si="23"/>
        <v>0</v>
      </c>
      <c r="AQ16" s="166">
        <f t="shared" si="9"/>
        <v>0</v>
      </c>
    </row>
    <row r="17" spans="1:43" x14ac:dyDescent="0.25">
      <c r="A17" s="56">
        <v>1</v>
      </c>
      <c r="B17" s="86">
        <f>24+12+7+21</f>
        <v>64</v>
      </c>
      <c r="C17" s="5">
        <f>8+9+4+17</f>
        <v>38</v>
      </c>
      <c r="D17" s="5">
        <f t="shared" si="10"/>
        <v>102</v>
      </c>
      <c r="E17" s="27">
        <f>C17/B17</f>
        <v>0.59375</v>
      </c>
      <c r="F17" s="74">
        <f>55+26</f>
        <v>81</v>
      </c>
      <c r="G17" s="5">
        <v>20</v>
      </c>
      <c r="H17" s="5">
        <f t="shared" si="11"/>
        <v>101</v>
      </c>
      <c r="I17" s="12">
        <f>G17/F17</f>
        <v>0.24691358024691357</v>
      </c>
      <c r="J17" s="166">
        <f t="shared" si="12"/>
        <v>0.41585445094217022</v>
      </c>
      <c r="L17" s="82">
        <v>8</v>
      </c>
      <c r="M17" s="86">
        <f>21+2+11+10+10</f>
        <v>54</v>
      </c>
      <c r="N17" s="5">
        <f>2+6+7+10+12</f>
        <v>37</v>
      </c>
      <c r="O17" s="5">
        <f t="shared" si="13"/>
        <v>91</v>
      </c>
      <c r="P17" s="27">
        <f t="shared" si="2"/>
        <v>0.68518518518518523</v>
      </c>
      <c r="Q17" s="74">
        <f>19+18+7</f>
        <v>44</v>
      </c>
      <c r="R17" s="5">
        <f>15+17+2</f>
        <v>34</v>
      </c>
      <c r="S17" s="5">
        <f t="shared" si="14"/>
        <v>78</v>
      </c>
      <c r="T17" s="12">
        <f t="shared" si="3"/>
        <v>0.77272727272727271</v>
      </c>
      <c r="U17" s="166">
        <f t="shared" si="4"/>
        <v>1.1277641277641277</v>
      </c>
      <c r="W17" s="88">
        <v>10</v>
      </c>
      <c r="X17" s="46">
        <v>78</v>
      </c>
      <c r="Y17" s="46">
        <v>30</v>
      </c>
      <c r="Z17" s="5">
        <f t="shared" si="15"/>
        <v>108</v>
      </c>
      <c r="AA17" s="47">
        <f>Y17/X17</f>
        <v>0.38461538461538464</v>
      </c>
      <c r="AB17" s="80">
        <v>74</v>
      </c>
      <c r="AC17" s="46">
        <v>0</v>
      </c>
      <c r="AD17" s="5">
        <f t="shared" si="16"/>
        <v>74</v>
      </c>
      <c r="AE17" s="48">
        <f t="shared" si="21"/>
        <v>0</v>
      </c>
      <c r="AF17" s="174">
        <f t="shared" si="17"/>
        <v>0</v>
      </c>
      <c r="AH17" s="82">
        <v>4</v>
      </c>
      <c r="AI17" s="86">
        <v>75</v>
      </c>
      <c r="AJ17" s="5">
        <v>41</v>
      </c>
      <c r="AK17" s="5">
        <f t="shared" si="18"/>
        <v>116</v>
      </c>
      <c r="AL17" s="27">
        <f t="shared" si="22"/>
        <v>0.54666666666666663</v>
      </c>
      <c r="AM17" s="74">
        <v>58</v>
      </c>
      <c r="AN17" s="5">
        <v>0</v>
      </c>
      <c r="AO17" s="5">
        <f t="shared" si="19"/>
        <v>58</v>
      </c>
      <c r="AP17" s="12">
        <f t="shared" si="23"/>
        <v>0</v>
      </c>
      <c r="AQ17" s="166">
        <f t="shared" si="9"/>
        <v>0</v>
      </c>
    </row>
    <row r="18" spans="1:43" x14ac:dyDescent="0.25">
      <c r="A18" s="56">
        <v>2</v>
      </c>
      <c r="B18" s="86">
        <f>50+10+32+20</f>
        <v>112</v>
      </c>
      <c r="C18" s="5">
        <f>2+11+19+24</f>
        <v>56</v>
      </c>
      <c r="D18" s="5">
        <f t="shared" si="10"/>
        <v>168</v>
      </c>
      <c r="E18" s="27">
        <f t="shared" ref="E18:E25" si="24">C18/B18</f>
        <v>0.5</v>
      </c>
      <c r="F18" s="74">
        <f>37</f>
        <v>37</v>
      </c>
      <c r="G18" s="5">
        <f>11</f>
        <v>11</v>
      </c>
      <c r="H18" s="5">
        <f t="shared" si="11"/>
        <v>48</v>
      </c>
      <c r="I18" s="12">
        <f t="shared" ref="I18:I25" si="25">G18/F18</f>
        <v>0.29729729729729731</v>
      </c>
      <c r="J18" s="166">
        <f t="shared" si="12"/>
        <v>0.59459459459459463</v>
      </c>
      <c r="L18" s="82">
        <v>2</v>
      </c>
      <c r="M18" s="112">
        <f>11+62+11+22</f>
        <v>106</v>
      </c>
      <c r="N18" s="5">
        <f>9+27+8+16</f>
        <v>60</v>
      </c>
      <c r="O18" s="5">
        <f t="shared" si="13"/>
        <v>166</v>
      </c>
      <c r="P18" s="27">
        <f t="shared" si="2"/>
        <v>0.56603773584905659</v>
      </c>
      <c r="Q18" s="74">
        <f>17+11+4+35+14</f>
        <v>81</v>
      </c>
      <c r="R18" s="5">
        <f>16+23+7+4</f>
        <v>50</v>
      </c>
      <c r="S18" s="5">
        <f t="shared" si="14"/>
        <v>131</v>
      </c>
      <c r="T18" s="12">
        <f t="shared" si="3"/>
        <v>0.61728395061728392</v>
      </c>
      <c r="U18" s="166">
        <f t="shared" si="4"/>
        <v>1.0905349794238683</v>
      </c>
      <c r="W18" s="88">
        <v>1</v>
      </c>
      <c r="X18" s="46">
        <v>89</v>
      </c>
      <c r="Y18" s="46">
        <v>36</v>
      </c>
      <c r="Z18" s="5">
        <f t="shared" si="15"/>
        <v>125</v>
      </c>
      <c r="AA18" s="47">
        <f t="shared" ref="AA18:AA24" si="26">Y18/X18</f>
        <v>0.4044943820224719</v>
      </c>
      <c r="AB18" s="80">
        <v>74</v>
      </c>
      <c r="AC18" s="46">
        <v>0</v>
      </c>
      <c r="AD18" s="5">
        <f t="shared" si="16"/>
        <v>74</v>
      </c>
      <c r="AE18" s="48">
        <f t="shared" si="21"/>
        <v>0</v>
      </c>
      <c r="AF18" s="174">
        <f t="shared" si="17"/>
        <v>0</v>
      </c>
      <c r="AH18" s="82">
        <v>5</v>
      </c>
      <c r="AI18" s="86">
        <v>70</v>
      </c>
      <c r="AJ18" s="5">
        <v>47</v>
      </c>
      <c r="AK18" s="5">
        <f t="shared" si="18"/>
        <v>117</v>
      </c>
      <c r="AL18" s="27">
        <f t="shared" si="22"/>
        <v>0.67142857142857137</v>
      </c>
      <c r="AM18" s="74">
        <v>69</v>
      </c>
      <c r="AN18" s="5">
        <v>0</v>
      </c>
      <c r="AO18" s="5">
        <f t="shared" si="19"/>
        <v>69</v>
      </c>
      <c r="AP18" s="12">
        <f t="shared" si="23"/>
        <v>0</v>
      </c>
      <c r="AQ18" s="166">
        <f t="shared" si="9"/>
        <v>0</v>
      </c>
    </row>
    <row r="19" spans="1:43" x14ac:dyDescent="0.25">
      <c r="A19" s="56">
        <v>3</v>
      </c>
      <c r="B19" s="86">
        <f>50+15+17+15</f>
        <v>97</v>
      </c>
      <c r="C19" s="5">
        <f>2+16+13+17</f>
        <v>48</v>
      </c>
      <c r="D19" s="5">
        <f t="shared" si="10"/>
        <v>145</v>
      </c>
      <c r="E19" s="27">
        <f t="shared" si="24"/>
        <v>0.49484536082474229</v>
      </c>
      <c r="F19" s="74">
        <f>62+7</f>
        <v>69</v>
      </c>
      <c r="G19" s="5">
        <f>29+3</f>
        <v>32</v>
      </c>
      <c r="H19" s="5">
        <f t="shared" si="11"/>
        <v>101</v>
      </c>
      <c r="I19" s="12">
        <f t="shared" si="25"/>
        <v>0.46376811594202899</v>
      </c>
      <c r="J19" s="166">
        <f t="shared" si="12"/>
        <v>0.93719806763285018</v>
      </c>
      <c r="L19" s="83">
        <v>3</v>
      </c>
      <c r="M19" s="86">
        <f>22+20+16</f>
        <v>58</v>
      </c>
      <c r="N19" s="5">
        <f>16+13+14</f>
        <v>43</v>
      </c>
      <c r="O19" s="5">
        <f t="shared" si="13"/>
        <v>101</v>
      </c>
      <c r="P19" s="27">
        <f t="shared" si="2"/>
        <v>0.74137931034482762</v>
      </c>
      <c r="Q19" s="74">
        <f>21+22</f>
        <v>43</v>
      </c>
      <c r="R19" s="5">
        <f>16+18</f>
        <v>34</v>
      </c>
      <c r="S19" s="5">
        <f t="shared" si="14"/>
        <v>77</v>
      </c>
      <c r="T19" s="12">
        <f t="shared" si="3"/>
        <v>0.79069767441860461</v>
      </c>
      <c r="U19" s="166">
        <f t="shared" si="4"/>
        <v>1.0665224445646295</v>
      </c>
      <c r="W19" s="88">
        <v>2</v>
      </c>
      <c r="X19" s="46">
        <v>69</v>
      </c>
      <c r="Y19" s="46">
        <v>23</v>
      </c>
      <c r="Z19" s="5">
        <f t="shared" si="15"/>
        <v>92</v>
      </c>
      <c r="AA19" s="47">
        <f t="shared" si="26"/>
        <v>0.33333333333333331</v>
      </c>
      <c r="AB19" s="80">
        <v>85</v>
      </c>
      <c r="AC19" s="46">
        <v>0</v>
      </c>
      <c r="AD19" s="5">
        <f t="shared" si="16"/>
        <v>85</v>
      </c>
      <c r="AE19" s="48">
        <f t="shared" si="21"/>
        <v>0</v>
      </c>
      <c r="AF19" s="174">
        <f t="shared" si="17"/>
        <v>0</v>
      </c>
      <c r="AH19" s="82">
        <v>6</v>
      </c>
      <c r="AI19" s="86">
        <v>59</v>
      </c>
      <c r="AJ19" s="5">
        <v>13</v>
      </c>
      <c r="AK19" s="5">
        <f t="shared" si="18"/>
        <v>72</v>
      </c>
      <c r="AL19" s="27">
        <f t="shared" si="22"/>
        <v>0.22033898305084745</v>
      </c>
      <c r="AM19" s="74">
        <v>75</v>
      </c>
      <c r="AN19" s="5">
        <v>0</v>
      </c>
      <c r="AO19" s="5">
        <f t="shared" si="19"/>
        <v>75</v>
      </c>
      <c r="AP19" s="12">
        <f t="shared" si="23"/>
        <v>0</v>
      </c>
      <c r="AQ19" s="166">
        <f t="shared" si="9"/>
        <v>0</v>
      </c>
    </row>
    <row r="20" spans="1:43" x14ac:dyDescent="0.25">
      <c r="A20" s="56">
        <v>4</v>
      </c>
      <c r="B20" s="86">
        <f>45+16+17+15</f>
        <v>93</v>
      </c>
      <c r="C20" s="5">
        <f>2+11+6+13</f>
        <v>32</v>
      </c>
      <c r="D20" s="5">
        <f t="shared" si="10"/>
        <v>125</v>
      </c>
      <c r="E20" s="27">
        <f t="shared" si="24"/>
        <v>0.34408602150537637</v>
      </c>
      <c r="F20" s="74">
        <f>68+28</f>
        <v>96</v>
      </c>
      <c r="G20" s="5">
        <f>15+10</f>
        <v>25</v>
      </c>
      <c r="H20" s="5">
        <f t="shared" si="11"/>
        <v>121</v>
      </c>
      <c r="I20" s="12">
        <f t="shared" si="25"/>
        <v>0.26041666666666669</v>
      </c>
      <c r="J20" s="166">
        <f t="shared" si="12"/>
        <v>0.7568359375</v>
      </c>
      <c r="L20" s="82">
        <v>1</v>
      </c>
      <c r="M20" s="86">
        <f>6+5+14+8+3</f>
        <v>36</v>
      </c>
      <c r="N20" s="5">
        <f>3+11+5+2+3</f>
        <v>24</v>
      </c>
      <c r="O20" s="5">
        <f t="shared" si="13"/>
        <v>60</v>
      </c>
      <c r="P20" s="27">
        <f t="shared" si="2"/>
        <v>0.66666666666666663</v>
      </c>
      <c r="Q20" s="74">
        <f>11+19+1</f>
        <v>31</v>
      </c>
      <c r="R20" s="5">
        <f>10+12</f>
        <v>22</v>
      </c>
      <c r="S20" s="5">
        <f t="shared" si="14"/>
        <v>53</v>
      </c>
      <c r="T20" s="12">
        <f t="shared" si="3"/>
        <v>0.70967741935483875</v>
      </c>
      <c r="U20" s="166">
        <f t="shared" si="4"/>
        <v>1.0645161290322582</v>
      </c>
      <c r="W20" s="83">
        <v>3</v>
      </c>
      <c r="X20" s="46">
        <v>75</v>
      </c>
      <c r="Y20" s="46">
        <v>35</v>
      </c>
      <c r="Z20" s="5">
        <f t="shared" si="15"/>
        <v>110</v>
      </c>
      <c r="AA20" s="47">
        <f t="shared" si="26"/>
        <v>0.46666666666666667</v>
      </c>
      <c r="AB20" s="80">
        <v>112</v>
      </c>
      <c r="AC20" s="46">
        <v>0</v>
      </c>
      <c r="AD20" s="5">
        <f t="shared" si="16"/>
        <v>112</v>
      </c>
      <c r="AE20" s="48">
        <f t="shared" si="21"/>
        <v>0</v>
      </c>
      <c r="AF20" s="174">
        <f t="shared" si="17"/>
        <v>0</v>
      </c>
      <c r="AH20" s="82">
        <v>7</v>
      </c>
      <c r="AI20" s="86">
        <v>75</v>
      </c>
      <c r="AJ20" s="5">
        <v>22</v>
      </c>
      <c r="AK20" s="5">
        <f t="shared" si="18"/>
        <v>97</v>
      </c>
      <c r="AL20" s="27">
        <f t="shared" si="22"/>
        <v>0.29333333333333333</v>
      </c>
      <c r="AM20" s="74">
        <v>65</v>
      </c>
      <c r="AN20" s="5">
        <v>0</v>
      </c>
      <c r="AO20" s="5">
        <f t="shared" si="19"/>
        <v>65</v>
      </c>
      <c r="AP20" s="12">
        <f t="shared" si="23"/>
        <v>0</v>
      </c>
      <c r="AQ20" s="166">
        <f t="shared" si="9"/>
        <v>0</v>
      </c>
    </row>
    <row r="21" spans="1:43" x14ac:dyDescent="0.25">
      <c r="A21" s="56">
        <v>5</v>
      </c>
      <c r="B21" s="86">
        <f>46+10+22+11</f>
        <v>89</v>
      </c>
      <c r="C21" s="5">
        <f>13+7+31</f>
        <v>51</v>
      </c>
      <c r="D21" s="5">
        <f t="shared" si="10"/>
        <v>140</v>
      </c>
      <c r="E21" s="27">
        <f t="shared" si="24"/>
        <v>0.5730337078651685</v>
      </c>
      <c r="F21" s="74">
        <f>49+18</f>
        <v>67</v>
      </c>
      <c r="G21" s="5">
        <f>6+5</f>
        <v>11</v>
      </c>
      <c r="H21" s="5">
        <f t="shared" si="11"/>
        <v>78</v>
      </c>
      <c r="I21" s="12">
        <f t="shared" si="25"/>
        <v>0.16417910447761194</v>
      </c>
      <c r="J21" s="166">
        <f t="shared" si="12"/>
        <v>0.28650863330406789</v>
      </c>
      <c r="L21" s="82">
        <v>4</v>
      </c>
      <c r="M21" s="86">
        <f>8+60+12+28</f>
        <v>108</v>
      </c>
      <c r="N21" s="5">
        <f>9+31+7+13</f>
        <v>60</v>
      </c>
      <c r="O21" s="5">
        <f t="shared" si="13"/>
        <v>168</v>
      </c>
      <c r="P21" s="27">
        <f t="shared" si="2"/>
        <v>0.55555555555555558</v>
      </c>
      <c r="Q21" s="74">
        <f>14+60+22</f>
        <v>96</v>
      </c>
      <c r="R21" s="5">
        <f>9+35+7</f>
        <v>51</v>
      </c>
      <c r="S21" s="5">
        <f t="shared" si="14"/>
        <v>147</v>
      </c>
      <c r="T21" s="12">
        <f t="shared" si="3"/>
        <v>0.53125</v>
      </c>
      <c r="U21" s="166">
        <f t="shared" si="4"/>
        <v>0.95624999999999993</v>
      </c>
      <c r="W21" s="88">
        <v>4</v>
      </c>
      <c r="X21" s="46">
        <v>71</v>
      </c>
      <c r="Y21" s="46">
        <v>40</v>
      </c>
      <c r="Z21" s="5">
        <f t="shared" si="15"/>
        <v>111</v>
      </c>
      <c r="AA21" s="47">
        <f t="shared" si="26"/>
        <v>0.56338028169014087</v>
      </c>
      <c r="AB21" s="80">
        <v>82</v>
      </c>
      <c r="AC21" s="46">
        <v>0</v>
      </c>
      <c r="AD21" s="5">
        <f t="shared" si="16"/>
        <v>82</v>
      </c>
      <c r="AE21" s="48">
        <f t="shared" si="21"/>
        <v>0</v>
      </c>
      <c r="AF21" s="174">
        <f t="shared" si="17"/>
        <v>0</v>
      </c>
      <c r="AH21" s="82">
        <v>8</v>
      </c>
      <c r="AI21" s="86">
        <v>84</v>
      </c>
      <c r="AJ21" s="5">
        <v>25</v>
      </c>
      <c r="AK21" s="5">
        <f t="shared" si="18"/>
        <v>109</v>
      </c>
      <c r="AL21" s="27">
        <f>AJ21/AI21</f>
        <v>0.29761904761904762</v>
      </c>
      <c r="AM21" s="74">
        <v>84</v>
      </c>
      <c r="AN21" s="5">
        <v>0</v>
      </c>
      <c r="AO21" s="5">
        <f t="shared" si="19"/>
        <v>84</v>
      </c>
      <c r="AP21" s="12">
        <f>AN21/AM21</f>
        <v>0</v>
      </c>
      <c r="AQ21" s="166">
        <f t="shared" si="9"/>
        <v>0</v>
      </c>
    </row>
    <row r="22" spans="1:43" x14ac:dyDescent="0.25">
      <c r="A22" s="56">
        <v>7</v>
      </c>
      <c r="B22" s="86">
        <f>42+20+15+12</f>
        <v>89</v>
      </c>
      <c r="C22" s="5">
        <f>9+9+21+18</f>
        <v>57</v>
      </c>
      <c r="D22" s="5">
        <f t="shared" si="10"/>
        <v>146</v>
      </c>
      <c r="E22" s="27">
        <f t="shared" si="24"/>
        <v>0.6404494382022472</v>
      </c>
      <c r="F22" s="74">
        <f>68+26</f>
        <v>94</v>
      </c>
      <c r="G22" s="5">
        <f>22+11</f>
        <v>33</v>
      </c>
      <c r="H22" s="5">
        <f t="shared" si="11"/>
        <v>127</v>
      </c>
      <c r="I22" s="12">
        <f t="shared" si="25"/>
        <v>0.35106382978723405</v>
      </c>
      <c r="J22" s="166">
        <f t="shared" si="12"/>
        <v>0.54815229563269874</v>
      </c>
      <c r="L22" s="82">
        <v>6</v>
      </c>
      <c r="M22" s="86">
        <f>13+37+15+36</f>
        <v>101</v>
      </c>
      <c r="N22" s="5">
        <f>8+36+8+16</f>
        <v>68</v>
      </c>
      <c r="O22" s="5">
        <f t="shared" si="13"/>
        <v>169</v>
      </c>
      <c r="P22" s="27">
        <f t="shared" si="2"/>
        <v>0.67326732673267331</v>
      </c>
      <c r="Q22" s="74">
        <f>24+38+29</f>
        <v>91</v>
      </c>
      <c r="R22" s="5">
        <f>14+32+9</f>
        <v>55</v>
      </c>
      <c r="S22" s="5">
        <f t="shared" si="14"/>
        <v>146</v>
      </c>
      <c r="T22" s="12">
        <f t="shared" si="3"/>
        <v>0.60439560439560436</v>
      </c>
      <c r="U22" s="166">
        <f t="shared" si="4"/>
        <v>0.89770523594052998</v>
      </c>
      <c r="W22" s="88">
        <v>5</v>
      </c>
      <c r="X22" s="46">
        <v>59</v>
      </c>
      <c r="Y22" s="46">
        <v>28</v>
      </c>
      <c r="Z22" s="5">
        <f t="shared" si="15"/>
        <v>87</v>
      </c>
      <c r="AA22" s="47">
        <f t="shared" si="26"/>
        <v>0.47457627118644069</v>
      </c>
      <c r="AB22" s="80">
        <v>81</v>
      </c>
      <c r="AC22" s="46">
        <v>0</v>
      </c>
      <c r="AD22" s="5">
        <f t="shared" si="16"/>
        <v>81</v>
      </c>
      <c r="AE22" s="48">
        <v>0</v>
      </c>
      <c r="AF22" s="174">
        <f t="shared" si="17"/>
        <v>0</v>
      </c>
      <c r="AH22" s="82">
        <v>9</v>
      </c>
      <c r="AI22" s="86">
        <v>52</v>
      </c>
      <c r="AJ22" s="5">
        <v>35</v>
      </c>
      <c r="AK22" s="5">
        <f t="shared" si="18"/>
        <v>87</v>
      </c>
      <c r="AL22" s="27">
        <f>AJ22/AI22</f>
        <v>0.67307692307692313</v>
      </c>
      <c r="AM22" s="74">
        <v>42</v>
      </c>
      <c r="AN22" s="5">
        <v>0</v>
      </c>
      <c r="AO22" s="5">
        <f t="shared" si="19"/>
        <v>42</v>
      </c>
      <c r="AP22" s="12">
        <f>AN22/AM22</f>
        <v>0</v>
      </c>
      <c r="AQ22" s="166">
        <f t="shared" si="9"/>
        <v>0</v>
      </c>
    </row>
    <row r="23" spans="1:43" x14ac:dyDescent="0.25">
      <c r="A23" s="56">
        <v>8</v>
      </c>
      <c r="B23" s="86">
        <f>40+13+22+13</f>
        <v>88</v>
      </c>
      <c r="C23" s="5">
        <f>3+12+12+20</f>
        <v>47</v>
      </c>
      <c r="D23" s="5">
        <f t="shared" si="10"/>
        <v>135</v>
      </c>
      <c r="E23" s="27">
        <f t="shared" si="24"/>
        <v>0.53409090909090906</v>
      </c>
      <c r="F23" s="74">
        <f>15</f>
        <v>15</v>
      </c>
      <c r="G23" s="5">
        <f>10</f>
        <v>10</v>
      </c>
      <c r="H23" s="5">
        <f t="shared" si="11"/>
        <v>25</v>
      </c>
      <c r="I23" s="12">
        <f t="shared" si="25"/>
        <v>0.66666666666666663</v>
      </c>
      <c r="J23" s="166">
        <f t="shared" si="12"/>
        <v>1.24822695035461</v>
      </c>
      <c r="L23" s="83">
        <v>3</v>
      </c>
      <c r="M23" s="112">
        <f>13+35+7+13</f>
        <v>68</v>
      </c>
      <c r="N23" s="5">
        <f>4+32+10+24</f>
        <v>70</v>
      </c>
      <c r="O23" s="5">
        <f t="shared" si="13"/>
        <v>138</v>
      </c>
      <c r="P23" s="27">
        <f t="shared" si="2"/>
        <v>1.0294117647058822</v>
      </c>
      <c r="Q23" s="74">
        <f>11+29+4+8</f>
        <v>52</v>
      </c>
      <c r="R23" s="5">
        <f>13+26+8+1</f>
        <v>48</v>
      </c>
      <c r="S23" s="5">
        <f t="shared" si="14"/>
        <v>100</v>
      </c>
      <c r="T23" s="12">
        <f t="shared" si="3"/>
        <v>0.92307692307692313</v>
      </c>
      <c r="U23" s="166">
        <f t="shared" si="4"/>
        <v>0.89670329670329685</v>
      </c>
      <c r="W23" s="88">
        <v>6</v>
      </c>
      <c r="X23" s="46">
        <v>81</v>
      </c>
      <c r="Y23" s="46">
        <v>45</v>
      </c>
      <c r="Z23" s="5">
        <f t="shared" si="15"/>
        <v>126</v>
      </c>
      <c r="AA23" s="47">
        <f t="shared" si="26"/>
        <v>0.55555555555555558</v>
      </c>
      <c r="AB23" s="80">
        <v>99</v>
      </c>
      <c r="AC23" s="46">
        <v>0</v>
      </c>
      <c r="AD23" s="5">
        <f t="shared" si="16"/>
        <v>99</v>
      </c>
      <c r="AE23" s="48">
        <f>AC23/AB23</f>
        <v>0</v>
      </c>
      <c r="AF23" s="174">
        <f t="shared" si="17"/>
        <v>0</v>
      </c>
      <c r="AH23" s="82">
        <v>10</v>
      </c>
      <c r="AI23" s="86">
        <v>66</v>
      </c>
      <c r="AJ23" s="5">
        <v>20</v>
      </c>
      <c r="AK23" s="5">
        <f t="shared" si="18"/>
        <v>86</v>
      </c>
      <c r="AL23" s="27">
        <f>AJ23/AI23</f>
        <v>0.30303030303030304</v>
      </c>
      <c r="AM23" s="74">
        <v>50</v>
      </c>
      <c r="AN23" s="5">
        <v>0</v>
      </c>
      <c r="AO23" s="5">
        <f t="shared" si="19"/>
        <v>50</v>
      </c>
      <c r="AP23" s="12">
        <f>AN23/AM23</f>
        <v>0</v>
      </c>
      <c r="AQ23" s="166">
        <f t="shared" si="9"/>
        <v>0</v>
      </c>
    </row>
    <row r="24" spans="1:43" x14ac:dyDescent="0.25">
      <c r="A24" s="56">
        <v>9</v>
      </c>
      <c r="B24" s="86">
        <f>39+14+15+19</f>
        <v>87</v>
      </c>
      <c r="C24" s="5">
        <f>3+12+11+21</f>
        <v>47</v>
      </c>
      <c r="D24" s="5">
        <f t="shared" si="10"/>
        <v>134</v>
      </c>
      <c r="E24" s="27">
        <f t="shared" si="24"/>
        <v>0.54022988505747127</v>
      </c>
      <c r="F24" s="74">
        <f>49</f>
        <v>49</v>
      </c>
      <c r="G24" s="5">
        <f>21</f>
        <v>21</v>
      </c>
      <c r="H24" s="5">
        <f t="shared" si="11"/>
        <v>70</v>
      </c>
      <c r="I24" s="12">
        <f t="shared" si="25"/>
        <v>0.42857142857142855</v>
      </c>
      <c r="J24" s="166">
        <f t="shared" si="12"/>
        <v>0.79331306990881456</v>
      </c>
      <c r="L24" s="82">
        <v>6</v>
      </c>
      <c r="M24" s="86">
        <f>20+7+23+10+6</f>
        <v>66</v>
      </c>
      <c r="N24" s="5">
        <f>12+4+5+9+6</f>
        <v>36</v>
      </c>
      <c r="O24" s="5">
        <f t="shared" si="13"/>
        <v>102</v>
      </c>
      <c r="P24" s="27">
        <f t="shared" si="2"/>
        <v>0.54545454545454541</v>
      </c>
      <c r="Q24" s="74">
        <f>27+32+11</f>
        <v>70</v>
      </c>
      <c r="R24" s="5">
        <f>16+13+4</f>
        <v>33</v>
      </c>
      <c r="S24" s="5">
        <f t="shared" si="14"/>
        <v>103</v>
      </c>
      <c r="T24" s="12">
        <f t="shared" si="3"/>
        <v>0.47142857142857142</v>
      </c>
      <c r="U24" s="166">
        <f t="shared" si="4"/>
        <v>0.86428571428571432</v>
      </c>
      <c r="W24" s="88">
        <v>7</v>
      </c>
      <c r="X24" s="46">
        <v>92</v>
      </c>
      <c r="Y24" s="46">
        <v>33</v>
      </c>
      <c r="Z24" s="5">
        <f t="shared" si="15"/>
        <v>125</v>
      </c>
      <c r="AA24" s="47">
        <f t="shared" si="26"/>
        <v>0.35869565217391303</v>
      </c>
      <c r="AB24" s="80">
        <v>53</v>
      </c>
      <c r="AC24" s="46">
        <v>0</v>
      </c>
      <c r="AD24" s="5">
        <f t="shared" si="16"/>
        <v>53</v>
      </c>
      <c r="AE24" s="48">
        <f>AC24/AB24</f>
        <v>0</v>
      </c>
      <c r="AF24" s="174">
        <f t="shared" si="17"/>
        <v>0</v>
      </c>
      <c r="AH24" s="82">
        <v>1</v>
      </c>
      <c r="AI24" s="86">
        <v>60</v>
      </c>
      <c r="AJ24" s="5">
        <v>4</v>
      </c>
      <c r="AK24" s="5">
        <f t="shared" si="18"/>
        <v>64</v>
      </c>
      <c r="AL24" s="27">
        <f t="shared" ref="AL24:AL30" si="27">AJ24/AI24</f>
        <v>6.6666666666666666E-2</v>
      </c>
      <c r="AM24" s="74">
        <v>81</v>
      </c>
      <c r="AN24" s="5">
        <v>0</v>
      </c>
      <c r="AO24" s="5">
        <f t="shared" si="19"/>
        <v>81</v>
      </c>
      <c r="AP24" s="12">
        <f t="shared" ref="AP24:AP30" si="28">AN24/AM24</f>
        <v>0</v>
      </c>
      <c r="AQ24" s="166">
        <f t="shared" si="9"/>
        <v>0</v>
      </c>
    </row>
    <row r="25" spans="1:43" ht="15.75" thickBot="1" x14ac:dyDescent="0.3">
      <c r="A25" s="57">
        <v>10</v>
      </c>
      <c r="B25" s="86">
        <f>38+19+21+13</f>
        <v>91</v>
      </c>
      <c r="C25" s="5">
        <f>1+17+7+27</f>
        <v>52</v>
      </c>
      <c r="D25" s="5">
        <f t="shared" si="10"/>
        <v>143</v>
      </c>
      <c r="E25" s="27">
        <f t="shared" si="24"/>
        <v>0.5714285714285714</v>
      </c>
      <c r="F25" s="75">
        <f>51+26</f>
        <v>77</v>
      </c>
      <c r="G25" s="13">
        <f>9+6</f>
        <v>15</v>
      </c>
      <c r="H25" s="5">
        <f t="shared" si="11"/>
        <v>92</v>
      </c>
      <c r="I25" s="15">
        <f t="shared" si="25"/>
        <v>0.19480519480519481</v>
      </c>
      <c r="J25" s="168">
        <f t="shared" si="12"/>
        <v>0.34090909090909094</v>
      </c>
      <c r="L25" s="82">
        <v>1</v>
      </c>
      <c r="M25" s="86">
        <f>17+15+15</f>
        <v>47</v>
      </c>
      <c r="N25" s="5">
        <f>12+8+9</f>
        <v>29</v>
      </c>
      <c r="O25" s="5">
        <f t="shared" si="13"/>
        <v>76</v>
      </c>
      <c r="P25" s="27">
        <f t="shared" si="2"/>
        <v>0.61702127659574468</v>
      </c>
      <c r="Q25" s="74">
        <f>25+15</f>
        <v>40</v>
      </c>
      <c r="R25" s="5">
        <f>14+7</f>
        <v>21</v>
      </c>
      <c r="S25" s="5">
        <f t="shared" si="14"/>
        <v>61</v>
      </c>
      <c r="T25" s="12">
        <f t="shared" si="3"/>
        <v>0.52500000000000002</v>
      </c>
      <c r="U25" s="166">
        <f t="shared" si="4"/>
        <v>0.8508620689655173</v>
      </c>
      <c r="W25" s="88">
        <v>8</v>
      </c>
      <c r="X25" s="46">
        <v>111</v>
      </c>
      <c r="Y25" s="46">
        <v>75</v>
      </c>
      <c r="Z25" s="5">
        <f t="shared" si="15"/>
        <v>186</v>
      </c>
      <c r="AA25" s="47">
        <f>Y25/X25</f>
        <v>0.67567567567567566</v>
      </c>
      <c r="AB25" s="80">
        <v>107</v>
      </c>
      <c r="AC25" s="46">
        <v>0</v>
      </c>
      <c r="AD25" s="5">
        <f t="shared" si="16"/>
        <v>107</v>
      </c>
      <c r="AE25" s="48">
        <f>AC25/AB25</f>
        <v>0</v>
      </c>
      <c r="AF25" s="174">
        <f t="shared" si="17"/>
        <v>0</v>
      </c>
      <c r="AH25" s="82">
        <v>2</v>
      </c>
      <c r="AI25" s="86">
        <v>89</v>
      </c>
      <c r="AJ25" s="5">
        <v>43</v>
      </c>
      <c r="AK25" s="5">
        <f t="shared" si="18"/>
        <v>132</v>
      </c>
      <c r="AL25" s="27">
        <f t="shared" si="27"/>
        <v>0.48314606741573035</v>
      </c>
      <c r="AM25" s="74">
        <v>96</v>
      </c>
      <c r="AN25" s="5">
        <v>0</v>
      </c>
      <c r="AO25" s="5">
        <f t="shared" si="19"/>
        <v>96</v>
      </c>
      <c r="AP25" s="12">
        <f t="shared" si="28"/>
        <v>0</v>
      </c>
      <c r="AQ25" s="166">
        <f t="shared" si="9"/>
        <v>0</v>
      </c>
    </row>
    <row r="26" spans="1:43" ht="15.75" thickBot="1" x14ac:dyDescent="0.3">
      <c r="A26" s="22">
        <f>COUNT(A4:A25)</f>
        <v>22</v>
      </c>
      <c r="B26" s="25">
        <f>SUM(B4:B25)</f>
        <v>1751</v>
      </c>
      <c r="C26" s="25">
        <f>SUM(C4:C25)</f>
        <v>935</v>
      </c>
      <c r="D26" s="25">
        <f>SUM(B26:C26)</f>
        <v>2686</v>
      </c>
      <c r="E26" s="24">
        <f>AVERAGE(E4:E25)</f>
        <v>0.53580007337450541</v>
      </c>
      <c r="F26" s="23">
        <f>SUM(F4:F25)</f>
        <v>1283</v>
      </c>
      <c r="G26" s="23">
        <f>SUM(G4:G25)</f>
        <v>371</v>
      </c>
      <c r="H26" s="25">
        <f>SUM(F26:G26)</f>
        <v>1654</v>
      </c>
      <c r="I26" s="24">
        <f>AVERAGE(I4:I25)</f>
        <v>0.29777450038157732</v>
      </c>
      <c r="J26" s="28">
        <f>AVERAGE(J4:J25)</f>
        <v>0.56592355066255429</v>
      </c>
      <c r="L26" s="82">
        <v>1</v>
      </c>
      <c r="M26" s="112">
        <f>17+52+6+27</f>
        <v>102</v>
      </c>
      <c r="N26" s="5">
        <f>10+35+2+13</f>
        <v>60</v>
      </c>
      <c r="O26" s="5">
        <f t="shared" si="13"/>
        <v>162</v>
      </c>
      <c r="P26" s="27">
        <f t="shared" si="2"/>
        <v>0.58823529411764708</v>
      </c>
      <c r="Q26" s="74">
        <f>8+17+28+12+13</f>
        <v>78</v>
      </c>
      <c r="R26" s="5">
        <f>14+15+7+3</f>
        <v>39</v>
      </c>
      <c r="S26" s="5">
        <f t="shared" si="14"/>
        <v>117</v>
      </c>
      <c r="T26" s="12">
        <f t="shared" si="3"/>
        <v>0.5</v>
      </c>
      <c r="U26" s="166">
        <f t="shared" si="4"/>
        <v>0.85</v>
      </c>
      <c r="W26" s="88">
        <v>9</v>
      </c>
      <c r="X26" s="46">
        <v>116</v>
      </c>
      <c r="Y26" s="46">
        <v>56</v>
      </c>
      <c r="Z26" s="5">
        <f t="shared" si="15"/>
        <v>172</v>
      </c>
      <c r="AA26" s="47">
        <f>Y26/X26</f>
        <v>0.48275862068965519</v>
      </c>
      <c r="AB26" s="80">
        <v>27</v>
      </c>
      <c r="AC26" s="46">
        <v>0</v>
      </c>
      <c r="AD26" s="5">
        <f t="shared" si="16"/>
        <v>27</v>
      </c>
      <c r="AE26" s="48">
        <f>AC26/AB26</f>
        <v>0</v>
      </c>
      <c r="AF26" s="174">
        <f t="shared" si="17"/>
        <v>0</v>
      </c>
      <c r="AH26" s="83">
        <v>3</v>
      </c>
      <c r="AI26" s="86">
        <v>78</v>
      </c>
      <c r="AJ26" s="5">
        <v>33</v>
      </c>
      <c r="AK26" s="5">
        <f t="shared" si="18"/>
        <v>111</v>
      </c>
      <c r="AL26" s="27">
        <f t="shared" si="27"/>
        <v>0.42307692307692307</v>
      </c>
      <c r="AM26" s="74">
        <v>94</v>
      </c>
      <c r="AN26" s="5">
        <v>0</v>
      </c>
      <c r="AO26" s="5">
        <f t="shared" si="19"/>
        <v>94</v>
      </c>
      <c r="AP26" s="12">
        <f t="shared" si="28"/>
        <v>0</v>
      </c>
      <c r="AQ26" s="166">
        <f t="shared" si="9"/>
        <v>0</v>
      </c>
    </row>
    <row r="27" spans="1:43" ht="15.75" thickBot="1" x14ac:dyDescent="0.3">
      <c r="D27" s="22">
        <f>AVERAGE(D4:D25)</f>
        <v>122.09090909090909</v>
      </c>
      <c r="H27" s="22">
        <f>AVERAGE(H4:H25)</f>
        <v>75.181818181818187</v>
      </c>
      <c r="J27" s="24">
        <f>STDEV(J4:J25)</f>
        <v>0.29663187435695976</v>
      </c>
      <c r="L27" s="82">
        <v>4</v>
      </c>
      <c r="M27" s="86">
        <f>2+6+1+1</f>
        <v>10</v>
      </c>
      <c r="N27" s="5">
        <f>3+3+3</f>
        <v>9</v>
      </c>
      <c r="O27" s="5">
        <f t="shared" si="13"/>
        <v>19</v>
      </c>
      <c r="P27" s="27">
        <f t="shared" si="2"/>
        <v>0.9</v>
      </c>
      <c r="Q27" s="74">
        <f>12+15+2</f>
        <v>29</v>
      </c>
      <c r="R27" s="5">
        <f>15+7</f>
        <v>22</v>
      </c>
      <c r="S27" s="5">
        <f t="shared" si="14"/>
        <v>51</v>
      </c>
      <c r="T27" s="12">
        <f t="shared" si="3"/>
        <v>0.75862068965517238</v>
      </c>
      <c r="U27" s="166">
        <f t="shared" si="4"/>
        <v>0.84291187739463591</v>
      </c>
      <c r="W27" s="95">
        <v>10</v>
      </c>
      <c r="X27" s="49">
        <v>106</v>
      </c>
      <c r="Y27" s="49">
        <v>63</v>
      </c>
      <c r="Z27" s="5">
        <f t="shared" si="15"/>
        <v>169</v>
      </c>
      <c r="AA27" s="50">
        <f>Y27/X27</f>
        <v>0.59433962264150941</v>
      </c>
      <c r="AB27" s="81">
        <v>114</v>
      </c>
      <c r="AC27" s="49">
        <v>0</v>
      </c>
      <c r="AD27" s="5">
        <f t="shared" si="16"/>
        <v>114</v>
      </c>
      <c r="AE27" s="51">
        <f>AC27/AB27</f>
        <v>0</v>
      </c>
      <c r="AF27" s="175">
        <f t="shared" si="17"/>
        <v>0</v>
      </c>
      <c r="AH27" s="82">
        <v>4</v>
      </c>
      <c r="AI27" s="86">
        <v>87</v>
      </c>
      <c r="AJ27" s="5">
        <v>26</v>
      </c>
      <c r="AK27" s="5">
        <f t="shared" si="18"/>
        <v>113</v>
      </c>
      <c r="AL27" s="27">
        <f t="shared" si="27"/>
        <v>0.2988505747126437</v>
      </c>
      <c r="AM27" s="74">
        <v>73</v>
      </c>
      <c r="AN27" s="5">
        <v>0</v>
      </c>
      <c r="AO27" s="5">
        <f t="shared" si="19"/>
        <v>73</v>
      </c>
      <c r="AP27" s="12">
        <f t="shared" si="28"/>
        <v>0</v>
      </c>
      <c r="AQ27" s="166">
        <f t="shared" si="9"/>
        <v>0</v>
      </c>
    </row>
    <row r="28" spans="1:43" ht="15.75" thickBot="1" x14ac:dyDescent="0.3">
      <c r="D28" s="22">
        <f>STDEV(D6:D25)</f>
        <v>33.788038992332304</v>
      </c>
      <c r="H28" s="22">
        <f>STDEV(H6:H25)</f>
        <v>36.791589427905656</v>
      </c>
      <c r="J28" s="24">
        <f>J27/SQRT(A26)</f>
        <v>6.3242128106811249E-2</v>
      </c>
      <c r="L28" s="82">
        <v>5</v>
      </c>
      <c r="M28" s="86">
        <f>15+1+13+5+5</f>
        <v>39</v>
      </c>
      <c r="N28" s="5">
        <f>6+3+5+4+9</f>
        <v>27</v>
      </c>
      <c r="O28" s="5">
        <f t="shared" si="13"/>
        <v>66</v>
      </c>
      <c r="P28" s="27">
        <f t="shared" si="2"/>
        <v>0.69230769230769229</v>
      </c>
      <c r="Q28" s="74">
        <f>22+11+1</f>
        <v>34</v>
      </c>
      <c r="R28" s="5">
        <f>11+5+2</f>
        <v>18</v>
      </c>
      <c r="S28" s="5">
        <f t="shared" si="14"/>
        <v>52</v>
      </c>
      <c r="T28" s="12">
        <f t="shared" si="3"/>
        <v>0.52941176470588236</v>
      </c>
      <c r="U28" s="166">
        <f t="shared" si="4"/>
        <v>0.76470588235294124</v>
      </c>
      <c r="W28" s="22">
        <f>COUNT(W4:W27)</f>
        <v>24</v>
      </c>
      <c r="X28" s="25">
        <f>SUM(X4:X27)</f>
        <v>2023</v>
      </c>
      <c r="Y28" s="25">
        <f>SUM(Y4:Y27)</f>
        <v>1047</v>
      </c>
      <c r="Z28" s="25">
        <f>SUM(X28:Y28)</f>
        <v>3070</v>
      </c>
      <c r="AA28" s="24">
        <f>AVERAGE(AA4:AA27)</f>
        <v>0.50714061535728561</v>
      </c>
      <c r="AB28" s="25">
        <f>SUM(AB4:AB27)</f>
        <v>1814</v>
      </c>
      <c r="AC28" s="25">
        <f>SUM(AC4:AC27)</f>
        <v>0</v>
      </c>
      <c r="AD28" s="25">
        <f>SUM(AB28:AC28)</f>
        <v>1814</v>
      </c>
      <c r="AE28" s="24">
        <f>AVERAGE(AE4:AE27)</f>
        <v>0</v>
      </c>
      <c r="AF28" s="28">
        <f>AVERAGE(AF4:AF27)</f>
        <v>0</v>
      </c>
      <c r="AH28" s="82">
        <v>5</v>
      </c>
      <c r="AI28" s="86">
        <v>72</v>
      </c>
      <c r="AJ28" s="5">
        <v>18</v>
      </c>
      <c r="AK28" s="5">
        <f t="shared" si="18"/>
        <v>90</v>
      </c>
      <c r="AL28" s="27">
        <f t="shared" si="27"/>
        <v>0.25</v>
      </c>
      <c r="AM28" s="74">
        <v>65</v>
      </c>
      <c r="AN28" s="5">
        <v>0</v>
      </c>
      <c r="AO28" s="5">
        <f t="shared" si="19"/>
        <v>65</v>
      </c>
      <c r="AP28" s="12">
        <f t="shared" si="28"/>
        <v>0</v>
      </c>
      <c r="AQ28" s="166">
        <f t="shared" si="9"/>
        <v>0</v>
      </c>
    </row>
    <row r="29" spans="1:43" ht="15.75" thickBot="1" x14ac:dyDescent="0.3">
      <c r="L29" s="82">
        <v>8</v>
      </c>
      <c r="M29" s="86">
        <f>15+40+42</f>
        <v>97</v>
      </c>
      <c r="N29" s="5">
        <f>13+31+22</f>
        <v>66</v>
      </c>
      <c r="O29" s="5">
        <f t="shared" si="13"/>
        <v>163</v>
      </c>
      <c r="P29" s="27">
        <f t="shared" si="2"/>
        <v>0.68041237113402064</v>
      </c>
      <c r="Q29" s="74">
        <f>8+54+1</f>
        <v>63</v>
      </c>
      <c r="R29" s="5">
        <f>6+25+1</f>
        <v>32</v>
      </c>
      <c r="S29" s="5">
        <f t="shared" si="14"/>
        <v>95</v>
      </c>
      <c r="T29" s="12">
        <f t="shared" si="3"/>
        <v>0.50793650793650791</v>
      </c>
      <c r="U29" s="166">
        <f t="shared" si="4"/>
        <v>0.74651274651274646</v>
      </c>
      <c r="Z29" s="22">
        <f>AVERAGE(Z4:Z27)</f>
        <v>127.91666666666667</v>
      </c>
      <c r="AD29" s="22">
        <f>AVERAGE(AD4:AD27)</f>
        <v>75.583333333333329</v>
      </c>
      <c r="AF29" s="24">
        <f>STDEV(AF4:AF27)</f>
        <v>0</v>
      </c>
      <c r="AH29" s="82">
        <v>6</v>
      </c>
      <c r="AI29" s="86">
        <v>75</v>
      </c>
      <c r="AJ29" s="5">
        <v>5</v>
      </c>
      <c r="AK29" s="5">
        <f t="shared" si="18"/>
        <v>80</v>
      </c>
      <c r="AL29" s="27">
        <f t="shared" si="27"/>
        <v>6.6666666666666666E-2</v>
      </c>
      <c r="AM29" s="74">
        <v>77</v>
      </c>
      <c r="AN29" s="5">
        <v>0</v>
      </c>
      <c r="AO29" s="5">
        <f t="shared" si="19"/>
        <v>77</v>
      </c>
      <c r="AP29" s="12">
        <f t="shared" si="28"/>
        <v>0</v>
      </c>
      <c r="AQ29" s="166">
        <f t="shared" si="9"/>
        <v>0</v>
      </c>
    </row>
    <row r="30" spans="1:43" ht="15.75" thickBot="1" x14ac:dyDescent="0.3">
      <c r="L30" s="82">
        <v>6</v>
      </c>
      <c r="M30" s="86">
        <f>10+24+27</f>
        <v>61</v>
      </c>
      <c r="N30" s="5">
        <f>7+15+11</f>
        <v>33</v>
      </c>
      <c r="O30" s="5">
        <f t="shared" si="13"/>
        <v>94</v>
      </c>
      <c r="P30" s="27">
        <f t="shared" si="2"/>
        <v>0.54098360655737709</v>
      </c>
      <c r="Q30" s="74">
        <f>24+11</f>
        <v>35</v>
      </c>
      <c r="R30" s="5">
        <f>11+3</f>
        <v>14</v>
      </c>
      <c r="S30" s="5">
        <f t="shared" si="14"/>
        <v>49</v>
      </c>
      <c r="T30" s="12">
        <f t="shared" si="3"/>
        <v>0.4</v>
      </c>
      <c r="U30" s="166">
        <f t="shared" si="4"/>
        <v>0.73939393939393938</v>
      </c>
      <c r="Z30" s="22">
        <f>STDEV(Z4:Z27)</f>
        <v>42.663411334147504</v>
      </c>
      <c r="AD30" s="22">
        <f>STDEV(AD4:AD27)</f>
        <v>28.756725741334307</v>
      </c>
      <c r="AF30" s="24">
        <f>AF29/SQRT(W28)</f>
        <v>0</v>
      </c>
      <c r="AH30" s="82">
        <v>7</v>
      </c>
      <c r="AI30" s="86">
        <v>64</v>
      </c>
      <c r="AJ30" s="5">
        <v>28</v>
      </c>
      <c r="AK30" s="5">
        <f t="shared" si="18"/>
        <v>92</v>
      </c>
      <c r="AL30" s="27">
        <f t="shared" si="27"/>
        <v>0.4375</v>
      </c>
      <c r="AM30" s="74">
        <v>61</v>
      </c>
      <c r="AN30" s="5">
        <v>0</v>
      </c>
      <c r="AO30" s="5">
        <f t="shared" si="19"/>
        <v>61</v>
      </c>
      <c r="AP30" s="12">
        <f t="shared" si="28"/>
        <v>0</v>
      </c>
      <c r="AQ30" s="166">
        <f t="shared" si="9"/>
        <v>0</v>
      </c>
    </row>
    <row r="31" spans="1:43" ht="15.75" thickBot="1" x14ac:dyDescent="0.3">
      <c r="L31" s="82">
        <v>9</v>
      </c>
      <c r="M31" s="86">
        <f>22+5+7+15</f>
        <v>49</v>
      </c>
      <c r="N31" s="5">
        <f>8+8+10+13</f>
        <v>39</v>
      </c>
      <c r="O31" s="5">
        <f t="shared" si="13"/>
        <v>88</v>
      </c>
      <c r="P31" s="27">
        <f t="shared" si="2"/>
        <v>0.79591836734693877</v>
      </c>
      <c r="Q31" s="74">
        <f>21+41+11</f>
        <v>73</v>
      </c>
      <c r="R31" s="5">
        <f>11+20+10</f>
        <v>41</v>
      </c>
      <c r="S31" s="5">
        <f t="shared" si="14"/>
        <v>114</v>
      </c>
      <c r="T31" s="12">
        <f t="shared" si="3"/>
        <v>0.56164383561643838</v>
      </c>
      <c r="U31" s="166">
        <f t="shared" si="4"/>
        <v>0.70565507551808926</v>
      </c>
      <c r="AH31" s="84">
        <v>10</v>
      </c>
      <c r="AI31" s="86">
        <v>41</v>
      </c>
      <c r="AJ31" s="5">
        <v>17</v>
      </c>
      <c r="AK31" s="5">
        <f t="shared" si="18"/>
        <v>58</v>
      </c>
      <c r="AL31" s="27">
        <f>AJ31/AI31</f>
        <v>0.41463414634146339</v>
      </c>
      <c r="AM31" s="75">
        <v>45</v>
      </c>
      <c r="AN31" s="13">
        <v>0</v>
      </c>
      <c r="AO31" s="5">
        <f t="shared" si="19"/>
        <v>45</v>
      </c>
      <c r="AP31" s="15">
        <f>AN31/AM31</f>
        <v>0</v>
      </c>
      <c r="AQ31" s="168">
        <f t="shared" si="9"/>
        <v>0</v>
      </c>
    </row>
    <row r="32" spans="1:43" ht="15.75" thickBot="1" x14ac:dyDescent="0.3">
      <c r="L32" s="83">
        <v>3</v>
      </c>
      <c r="M32" s="86">
        <f>15+36+25</f>
        <v>76</v>
      </c>
      <c r="N32" s="5">
        <f>7+16+30</f>
        <v>53</v>
      </c>
      <c r="O32" s="5">
        <f t="shared" si="13"/>
        <v>129</v>
      </c>
      <c r="P32" s="27">
        <f t="shared" si="2"/>
        <v>0.69736842105263153</v>
      </c>
      <c r="Q32" s="74">
        <f>25</f>
        <v>25</v>
      </c>
      <c r="R32" s="5">
        <f>12</f>
        <v>12</v>
      </c>
      <c r="S32" s="5">
        <f t="shared" si="14"/>
        <v>37</v>
      </c>
      <c r="T32" s="12">
        <f t="shared" si="3"/>
        <v>0.48</v>
      </c>
      <c r="U32" s="166">
        <f t="shared" si="4"/>
        <v>0.68830188679245285</v>
      </c>
      <c r="AH32" s="22">
        <f>COUNT(AH4:AH31)</f>
        <v>28</v>
      </c>
      <c r="AI32" s="25">
        <f>SUM(AI4:AI31)</f>
        <v>2045</v>
      </c>
      <c r="AJ32" s="25">
        <f>SUM(AJ4:AJ31)</f>
        <v>717</v>
      </c>
      <c r="AK32" s="25">
        <f>SUM(AI32:AJ32)</f>
        <v>2762</v>
      </c>
      <c r="AL32" s="24">
        <f>AVERAGE(AL4:AL31)</f>
        <v>0.35605964721948669</v>
      </c>
      <c r="AM32" s="25">
        <f>SUM(AM4:AM31)</f>
        <v>1797</v>
      </c>
      <c r="AN32" s="25">
        <f>SUM(AN4:AN31)</f>
        <v>0</v>
      </c>
      <c r="AO32" s="25">
        <f>SUM(AM32:AN32)</f>
        <v>1797</v>
      </c>
      <c r="AP32" s="24">
        <f>AVERAGE(AP4:AP31)</f>
        <v>0</v>
      </c>
      <c r="AQ32" s="24">
        <f>AVERAGE(AQ4:AQ31)</f>
        <v>0</v>
      </c>
    </row>
    <row r="33" spans="1:43" ht="15.75" thickBot="1" x14ac:dyDescent="0.3">
      <c r="L33" s="82">
        <v>7</v>
      </c>
      <c r="M33" s="86">
        <f>12+3+8+8+7</f>
        <v>38</v>
      </c>
      <c r="N33" s="5">
        <f>1+12+5+4+9</f>
        <v>31</v>
      </c>
      <c r="O33" s="5">
        <f t="shared" si="13"/>
        <v>69</v>
      </c>
      <c r="P33" s="27">
        <f t="shared" si="2"/>
        <v>0.81578947368421051</v>
      </c>
      <c r="Q33" s="74">
        <f>20+35+10</f>
        <v>65</v>
      </c>
      <c r="R33" s="5">
        <f>16+12+6</f>
        <v>34</v>
      </c>
      <c r="S33" s="5">
        <f t="shared" si="14"/>
        <v>99</v>
      </c>
      <c r="T33" s="12">
        <f t="shared" si="3"/>
        <v>0.52307692307692311</v>
      </c>
      <c r="U33" s="166">
        <f t="shared" si="4"/>
        <v>0.64119106699751871</v>
      </c>
      <c r="AK33" s="22">
        <f>AVERAGE(AK4:AK31)</f>
        <v>98.642857142857139</v>
      </c>
      <c r="AO33" s="22">
        <f>AVERAGE(AO4:AO31)</f>
        <v>64.178571428571431</v>
      </c>
      <c r="AQ33" s="24">
        <f>STDEV(AQ4:AQ31)</f>
        <v>0</v>
      </c>
    </row>
    <row r="34" spans="1:43" ht="15.75" thickBot="1" x14ac:dyDescent="0.3">
      <c r="L34" s="82">
        <v>2</v>
      </c>
      <c r="M34" s="86">
        <f>24+8+29+14+11</f>
        <v>86</v>
      </c>
      <c r="N34" s="5">
        <f>5+20+8+8+8</f>
        <v>49</v>
      </c>
      <c r="O34" s="5">
        <f t="shared" si="13"/>
        <v>135</v>
      </c>
      <c r="P34" s="27">
        <f t="shared" si="2"/>
        <v>0.56976744186046513</v>
      </c>
      <c r="Q34" s="74">
        <f>21+53+18</f>
        <v>92</v>
      </c>
      <c r="R34" s="5">
        <f>14+3+11</f>
        <v>28</v>
      </c>
      <c r="S34" s="5">
        <f t="shared" si="14"/>
        <v>120</v>
      </c>
      <c r="T34" s="12">
        <f t="shared" si="3"/>
        <v>0.30434782608695654</v>
      </c>
      <c r="U34" s="166">
        <f t="shared" si="4"/>
        <v>0.53416149068322982</v>
      </c>
      <c r="AK34" s="22">
        <f>STDEV(AK4:AK31)</f>
        <v>18.023059890892227</v>
      </c>
      <c r="AO34" s="22">
        <f>STDEV(AO4:AO31)</f>
        <v>16.830425648605196</v>
      </c>
      <c r="AQ34" s="24">
        <f>AQ33/SQRT(AH32)</f>
        <v>0</v>
      </c>
    </row>
    <row r="35" spans="1:43" ht="15.75" thickBot="1" x14ac:dyDescent="0.3">
      <c r="L35" s="84">
        <v>10</v>
      </c>
      <c r="M35" s="87">
        <f>14+47+14+22</f>
        <v>97</v>
      </c>
      <c r="N35" s="13">
        <f>10+24+4+8</f>
        <v>46</v>
      </c>
      <c r="O35" s="5">
        <f t="shared" si="13"/>
        <v>143</v>
      </c>
      <c r="P35" s="34">
        <f t="shared" si="2"/>
        <v>0.47422680412371132</v>
      </c>
      <c r="Q35" s="75">
        <f>12+50+16</f>
        <v>78</v>
      </c>
      <c r="R35" s="13">
        <f>14+35+4</f>
        <v>53</v>
      </c>
      <c r="S35" s="5">
        <f t="shared" si="14"/>
        <v>131</v>
      </c>
      <c r="T35" s="15">
        <v>0</v>
      </c>
      <c r="U35" s="168">
        <f t="shared" si="4"/>
        <v>0</v>
      </c>
    </row>
    <row r="36" spans="1:43" ht="15.75" thickBot="1" x14ac:dyDescent="0.3">
      <c r="L36" s="22">
        <f>COUNT(L4:L35)</f>
        <v>32</v>
      </c>
      <c r="M36" s="25">
        <f>SUM(M4:M35)</f>
        <v>2264</v>
      </c>
      <c r="N36" s="25">
        <f>SUM(N4:N35)</f>
        <v>1378</v>
      </c>
      <c r="O36" s="25">
        <f>SUM(M36:N36)</f>
        <v>3642</v>
      </c>
      <c r="P36" s="24">
        <f>AVERAGE(P4:P35)</f>
        <v>0.62944774980845841</v>
      </c>
      <c r="Q36" s="25">
        <f>SUM(Q4:Q35)</f>
        <v>1840</v>
      </c>
      <c r="R36" s="25">
        <f>SUM(R4:R35)</f>
        <v>1157</v>
      </c>
      <c r="S36" s="25">
        <f>SUM(Q36:R36)</f>
        <v>2997</v>
      </c>
      <c r="T36" s="24">
        <f>AVERAGE(T4:T35)</f>
        <v>0.63516513679575703</v>
      </c>
      <c r="U36" s="28">
        <f>AVERAGE(U4:U35)</f>
        <v>1.0268781156663813</v>
      </c>
    </row>
    <row r="37" spans="1:43" ht="16.899999999999999" customHeight="1" thickBot="1" x14ac:dyDescent="0.3">
      <c r="O37" s="22">
        <f>AVERAGE(O4:O35)</f>
        <v>113.8125</v>
      </c>
      <c r="S37" s="22">
        <f>AVERAGE(S4:S35)</f>
        <v>93.65625</v>
      </c>
      <c r="U37" s="24">
        <f>STDEV(U4:U35)</f>
        <v>0.36284836308373458</v>
      </c>
    </row>
    <row r="38" spans="1:43" ht="15.75" thickBot="1" x14ac:dyDescent="0.3">
      <c r="O38" s="22">
        <f>STDEV(O6:O35)</f>
        <v>43.812085667937708</v>
      </c>
      <c r="S38" s="22">
        <f>STDEV(S6:S35)</f>
        <v>35.171239556689258</v>
      </c>
      <c r="U38" s="24">
        <f>U37/SQRT(L36)</f>
        <v>6.4143134519736814E-2</v>
      </c>
    </row>
    <row r="39" spans="1:43" x14ac:dyDescent="0.25">
      <c r="O39" s="119"/>
      <c r="P39" s="120"/>
      <c r="Q39" s="120"/>
      <c r="R39" s="120"/>
      <c r="S39" s="119"/>
      <c r="T39" s="120"/>
      <c r="U39" s="121"/>
    </row>
    <row r="40" spans="1:43" x14ac:dyDescent="0.25">
      <c r="P40" s="120"/>
      <c r="Q40" s="120"/>
      <c r="R40" s="120"/>
      <c r="S40" s="119"/>
      <c r="T40" s="120"/>
      <c r="U40" s="121"/>
    </row>
    <row r="41" spans="1:43" x14ac:dyDescent="0.25">
      <c r="O41" s="119"/>
      <c r="P41" s="120"/>
      <c r="Q41" s="120"/>
      <c r="R41" s="120"/>
      <c r="S41" s="119"/>
      <c r="T41" s="120"/>
      <c r="U41" s="121"/>
    </row>
    <row r="42" spans="1:43" ht="27.6" customHeight="1" thickBot="1" x14ac:dyDescent="0.3"/>
    <row r="43" spans="1:43" x14ac:dyDescent="0.25">
      <c r="A43" s="191" t="s">
        <v>3</v>
      </c>
      <c r="B43" s="179" t="s">
        <v>9</v>
      </c>
      <c r="C43" s="179"/>
      <c r="D43" s="179"/>
      <c r="E43" s="179"/>
      <c r="F43" s="184" t="s">
        <v>11</v>
      </c>
      <c r="G43" s="182"/>
      <c r="H43" s="182"/>
      <c r="I43" s="183"/>
      <c r="J43" s="186" t="s">
        <v>7</v>
      </c>
      <c r="L43" s="191" t="s">
        <v>3</v>
      </c>
      <c r="M43" s="179" t="s">
        <v>9</v>
      </c>
      <c r="N43" s="179"/>
      <c r="O43" s="179"/>
      <c r="P43" s="179"/>
      <c r="Q43" s="184" t="s">
        <v>11</v>
      </c>
      <c r="R43" s="182"/>
      <c r="S43" s="182"/>
      <c r="T43" s="183"/>
      <c r="U43" s="186" t="s">
        <v>7</v>
      </c>
    </row>
    <row r="44" spans="1:43" ht="15.75" thickBot="1" x14ac:dyDescent="0.3">
      <c r="A44" s="193"/>
      <c r="B44" s="85" t="s">
        <v>4</v>
      </c>
      <c r="C44" s="8" t="s">
        <v>5</v>
      </c>
      <c r="D44" s="69" t="s">
        <v>17</v>
      </c>
      <c r="E44" s="71" t="s">
        <v>6</v>
      </c>
      <c r="F44" s="72" t="s">
        <v>4</v>
      </c>
      <c r="G44" s="8" t="s">
        <v>5</v>
      </c>
      <c r="H44" s="69" t="s">
        <v>17</v>
      </c>
      <c r="I44" s="73" t="s">
        <v>6</v>
      </c>
      <c r="J44" s="194"/>
      <c r="L44" s="193"/>
      <c r="M44" s="85" t="s">
        <v>4</v>
      </c>
      <c r="N44" s="8" t="s">
        <v>5</v>
      </c>
      <c r="O44" s="69" t="s">
        <v>17</v>
      </c>
      <c r="P44" s="71" t="s">
        <v>6</v>
      </c>
      <c r="Q44" s="72" t="s">
        <v>4</v>
      </c>
      <c r="R44" s="8" t="s">
        <v>5</v>
      </c>
      <c r="S44" s="69" t="s">
        <v>17</v>
      </c>
      <c r="T44" s="73" t="s">
        <v>6</v>
      </c>
      <c r="U44" s="194"/>
    </row>
    <row r="45" spans="1:43" x14ac:dyDescent="0.25">
      <c r="A45" s="113">
        <v>2</v>
      </c>
      <c r="B45" s="102">
        <f>58+25+13</f>
        <v>96</v>
      </c>
      <c r="C45" s="63">
        <f>18+15+10</f>
        <v>43</v>
      </c>
      <c r="D45" s="63">
        <f>SUM(B45:C45)</f>
        <v>139</v>
      </c>
      <c r="E45" s="106">
        <f t="shared" ref="E45:E52" si="29">C45/B45</f>
        <v>0.44791666666666669</v>
      </c>
      <c r="F45" s="109">
        <f>13+28+14</f>
        <v>55</v>
      </c>
      <c r="G45" s="63">
        <f>1+1+4</f>
        <v>6</v>
      </c>
      <c r="H45" s="63">
        <f>SUM(F45:G45)</f>
        <v>61</v>
      </c>
      <c r="I45" s="65">
        <f t="shared" ref="I45:I52" si="30">G45/F45</f>
        <v>0.10909090909090909</v>
      </c>
      <c r="J45" s="167">
        <f>I45/E45</f>
        <v>0.2435517970401691</v>
      </c>
      <c r="L45" s="108">
        <v>7</v>
      </c>
      <c r="M45" s="89">
        <f>6+43+25</f>
        <v>74</v>
      </c>
      <c r="N45" s="9">
        <f>7+19+18</f>
        <v>44</v>
      </c>
      <c r="O45" s="63">
        <f>SUM(M45:N45)</f>
        <v>118</v>
      </c>
      <c r="P45" s="33">
        <f t="shared" ref="P45:P64" si="31">N45/M45</f>
        <v>0.59459459459459463</v>
      </c>
      <c r="Q45" s="109">
        <f>31</f>
        <v>31</v>
      </c>
      <c r="R45" s="63">
        <f>34</f>
        <v>34</v>
      </c>
      <c r="S45" s="63">
        <f>SUM(Q45:R45)</f>
        <v>65</v>
      </c>
      <c r="T45" s="65">
        <f t="shared" ref="T45:T64" si="32">R45/Q45</f>
        <v>1.096774193548387</v>
      </c>
      <c r="U45" s="169">
        <f t="shared" ref="U45:U64" si="33">T45/P45</f>
        <v>1.8445747800586507</v>
      </c>
    </row>
    <row r="46" spans="1:43" x14ac:dyDescent="0.25">
      <c r="A46" s="56">
        <v>3</v>
      </c>
      <c r="B46" s="86">
        <f>51+30+22</f>
        <v>103</v>
      </c>
      <c r="C46" s="5">
        <f>19+8+9</f>
        <v>36</v>
      </c>
      <c r="D46" s="5">
        <f t="shared" ref="D46:D63" si="34">SUM(B46:C46)</f>
        <v>139</v>
      </c>
      <c r="E46" s="27">
        <f t="shared" si="29"/>
        <v>0.34951456310679613</v>
      </c>
      <c r="F46" s="74">
        <f>17+16+14</f>
        <v>47</v>
      </c>
      <c r="G46" s="5">
        <f>1</f>
        <v>1</v>
      </c>
      <c r="H46" s="5">
        <f t="shared" ref="H46:H63" si="35">SUM(F46:G46)</f>
        <v>48</v>
      </c>
      <c r="I46" s="12">
        <f t="shared" si="30"/>
        <v>2.1276595744680851E-2</v>
      </c>
      <c r="J46" s="166">
        <f t="shared" ref="J46:J56" si="36">I46/E46</f>
        <v>6.0874704491725766E-2</v>
      </c>
      <c r="L46" s="88">
        <v>5</v>
      </c>
      <c r="M46" s="86">
        <f>18+49+51</f>
        <v>118</v>
      </c>
      <c r="N46" s="5">
        <f>16+28+15</f>
        <v>59</v>
      </c>
      <c r="O46" s="5">
        <f t="shared" ref="O46:O64" si="37">SUM(M46:N46)</f>
        <v>177</v>
      </c>
      <c r="P46" s="27">
        <f t="shared" si="31"/>
        <v>0.5</v>
      </c>
      <c r="Q46" s="74">
        <f>19+2+4</f>
        <v>25</v>
      </c>
      <c r="R46" s="5">
        <f>18+2+3</f>
        <v>23</v>
      </c>
      <c r="S46" s="5">
        <f t="shared" ref="S46:S64" si="38">SUM(Q46:R46)</f>
        <v>48</v>
      </c>
      <c r="T46" s="12">
        <f t="shared" si="32"/>
        <v>0.92</v>
      </c>
      <c r="U46" s="170">
        <f t="shared" si="33"/>
        <v>1.84</v>
      </c>
    </row>
    <row r="47" spans="1:43" x14ac:dyDescent="0.25">
      <c r="A47" s="56">
        <v>4</v>
      </c>
      <c r="B47" s="86">
        <f>46+12+5</f>
        <v>63</v>
      </c>
      <c r="C47" s="5">
        <f>31+11+5</f>
        <v>47</v>
      </c>
      <c r="D47" s="5">
        <f t="shared" si="34"/>
        <v>110</v>
      </c>
      <c r="E47" s="27">
        <f t="shared" si="29"/>
        <v>0.74603174603174605</v>
      </c>
      <c r="F47" s="74">
        <f>14+38+11</f>
        <v>63</v>
      </c>
      <c r="G47" s="5">
        <f>4</f>
        <v>4</v>
      </c>
      <c r="H47" s="5">
        <f t="shared" si="35"/>
        <v>67</v>
      </c>
      <c r="I47" s="12">
        <f t="shared" si="30"/>
        <v>6.3492063492063489E-2</v>
      </c>
      <c r="J47" s="166">
        <f t="shared" si="36"/>
        <v>8.5106382978723402E-2</v>
      </c>
      <c r="L47" s="88">
        <v>9</v>
      </c>
      <c r="M47" s="86">
        <f>24+36+30</f>
        <v>90</v>
      </c>
      <c r="N47" s="5">
        <f>20+16+14</f>
        <v>50</v>
      </c>
      <c r="O47" s="5">
        <f t="shared" si="37"/>
        <v>140</v>
      </c>
      <c r="P47" s="27">
        <f t="shared" si="31"/>
        <v>0.55555555555555558</v>
      </c>
      <c r="Q47" s="74">
        <f>13</f>
        <v>13</v>
      </c>
      <c r="R47" s="5">
        <f>13</f>
        <v>13</v>
      </c>
      <c r="S47" s="5">
        <f t="shared" si="38"/>
        <v>26</v>
      </c>
      <c r="T47" s="12">
        <f t="shared" si="32"/>
        <v>1</v>
      </c>
      <c r="U47" s="170">
        <f t="shared" si="33"/>
        <v>1.7999999999999998</v>
      </c>
    </row>
    <row r="48" spans="1:43" x14ac:dyDescent="0.25">
      <c r="A48" s="56">
        <v>5</v>
      </c>
      <c r="B48" s="86">
        <f>37+27+14</f>
        <v>78</v>
      </c>
      <c r="C48" s="5">
        <f>30+16+15</f>
        <v>61</v>
      </c>
      <c r="D48" s="5">
        <f t="shared" si="34"/>
        <v>139</v>
      </c>
      <c r="E48" s="27">
        <f t="shared" si="29"/>
        <v>0.78205128205128205</v>
      </c>
      <c r="F48" s="74">
        <f>5+21+24</f>
        <v>50</v>
      </c>
      <c r="G48" s="5">
        <f>5</f>
        <v>5</v>
      </c>
      <c r="H48" s="5">
        <f t="shared" si="35"/>
        <v>55</v>
      </c>
      <c r="I48" s="12">
        <f t="shared" si="30"/>
        <v>0.1</v>
      </c>
      <c r="J48" s="166">
        <f t="shared" si="36"/>
        <v>0.12786885245901641</v>
      </c>
      <c r="L48" s="88">
        <v>1</v>
      </c>
      <c r="M48" s="86">
        <f>25+36+12</f>
        <v>73</v>
      </c>
      <c r="N48" s="5">
        <f>12+10+11</f>
        <v>33</v>
      </c>
      <c r="O48" s="5">
        <f t="shared" si="37"/>
        <v>106</v>
      </c>
      <c r="P48" s="27">
        <f t="shared" si="31"/>
        <v>0.45205479452054792</v>
      </c>
      <c r="Q48" s="74">
        <f>34</f>
        <v>34</v>
      </c>
      <c r="R48" s="5">
        <f>22</f>
        <v>22</v>
      </c>
      <c r="S48" s="5">
        <f t="shared" si="38"/>
        <v>56</v>
      </c>
      <c r="T48" s="12">
        <f t="shared" si="32"/>
        <v>0.6470588235294118</v>
      </c>
      <c r="U48" s="170">
        <f t="shared" si="33"/>
        <v>1.4313725490196081</v>
      </c>
    </row>
    <row r="49" spans="1:21" x14ac:dyDescent="0.25">
      <c r="A49" s="56">
        <v>6</v>
      </c>
      <c r="B49" s="86">
        <f>46+21+9</f>
        <v>76</v>
      </c>
      <c r="C49" s="5">
        <f>35+9+6</f>
        <v>50</v>
      </c>
      <c r="D49" s="5">
        <f t="shared" si="34"/>
        <v>126</v>
      </c>
      <c r="E49" s="27">
        <f t="shared" si="29"/>
        <v>0.65789473684210531</v>
      </c>
      <c r="F49" s="74">
        <f>15+18+15</f>
        <v>48</v>
      </c>
      <c r="G49" s="5">
        <f>3</f>
        <v>3</v>
      </c>
      <c r="H49" s="5">
        <f t="shared" si="35"/>
        <v>51</v>
      </c>
      <c r="I49" s="12">
        <f t="shared" si="30"/>
        <v>6.25E-2</v>
      </c>
      <c r="J49" s="166">
        <f t="shared" si="36"/>
        <v>9.4999999999999987E-2</v>
      </c>
      <c r="L49" s="88">
        <v>10</v>
      </c>
      <c r="M49" s="86">
        <f>26+49+43</f>
        <v>118</v>
      </c>
      <c r="N49" s="5">
        <f>12+21+19</f>
        <v>52</v>
      </c>
      <c r="O49" s="5">
        <f t="shared" si="37"/>
        <v>170</v>
      </c>
      <c r="P49" s="27">
        <f t="shared" si="31"/>
        <v>0.44067796610169491</v>
      </c>
      <c r="Q49" s="74">
        <f>42+7+6</f>
        <v>55</v>
      </c>
      <c r="R49" s="5">
        <f>23+3+8</f>
        <v>34</v>
      </c>
      <c r="S49" s="5">
        <f t="shared" si="38"/>
        <v>89</v>
      </c>
      <c r="T49" s="12">
        <f t="shared" si="32"/>
        <v>0.61818181818181817</v>
      </c>
      <c r="U49" s="170">
        <f t="shared" si="33"/>
        <v>1.4027972027972029</v>
      </c>
    </row>
    <row r="50" spans="1:21" x14ac:dyDescent="0.25">
      <c r="A50" s="56">
        <v>7</v>
      </c>
      <c r="B50" s="86">
        <f>46+25+19</f>
        <v>90</v>
      </c>
      <c r="C50" s="5">
        <f>22+11+10</f>
        <v>43</v>
      </c>
      <c r="D50" s="5">
        <f t="shared" si="34"/>
        <v>133</v>
      </c>
      <c r="E50" s="27">
        <f t="shared" si="29"/>
        <v>0.4777777777777778</v>
      </c>
      <c r="F50" s="74">
        <f>12+31+24</f>
        <v>67</v>
      </c>
      <c r="G50" s="5">
        <f>2</f>
        <v>2</v>
      </c>
      <c r="H50" s="5">
        <f t="shared" si="35"/>
        <v>69</v>
      </c>
      <c r="I50" s="12">
        <f t="shared" si="30"/>
        <v>2.9850746268656716E-2</v>
      </c>
      <c r="J50" s="166">
        <f t="shared" si="36"/>
        <v>6.2478306143700098E-2</v>
      </c>
      <c r="L50" s="88">
        <v>10</v>
      </c>
      <c r="M50" s="86">
        <f>23+31+35</f>
        <v>89</v>
      </c>
      <c r="N50" s="5">
        <f>12+17+18</f>
        <v>47</v>
      </c>
      <c r="O50" s="5">
        <f t="shared" si="37"/>
        <v>136</v>
      </c>
      <c r="P50" s="27">
        <f t="shared" si="31"/>
        <v>0.5280898876404494</v>
      </c>
      <c r="Q50" s="74">
        <f>3+17</f>
        <v>20</v>
      </c>
      <c r="R50" s="5">
        <f>5+9</f>
        <v>14</v>
      </c>
      <c r="S50" s="5">
        <f t="shared" si="38"/>
        <v>34</v>
      </c>
      <c r="T50" s="12">
        <f t="shared" si="32"/>
        <v>0.7</v>
      </c>
      <c r="U50" s="170">
        <f t="shared" si="33"/>
        <v>1.3255319148936171</v>
      </c>
    </row>
    <row r="51" spans="1:21" x14ac:dyDescent="0.25">
      <c r="A51" s="56">
        <v>8</v>
      </c>
      <c r="B51" s="86">
        <f>60+25+22</f>
        <v>107</v>
      </c>
      <c r="C51" s="5">
        <f>15+14+12</f>
        <v>41</v>
      </c>
      <c r="D51" s="5">
        <f t="shared" si="34"/>
        <v>148</v>
      </c>
      <c r="E51" s="27">
        <f t="shared" si="29"/>
        <v>0.38317757009345793</v>
      </c>
      <c r="F51" s="74">
        <f>3+35+12</f>
        <v>50</v>
      </c>
      <c r="G51" s="5">
        <f>2</f>
        <v>2</v>
      </c>
      <c r="H51" s="5">
        <f t="shared" si="35"/>
        <v>52</v>
      </c>
      <c r="I51" s="12">
        <f t="shared" si="30"/>
        <v>0.04</v>
      </c>
      <c r="J51" s="166">
        <f t="shared" si="36"/>
        <v>0.10439024390243903</v>
      </c>
      <c r="L51" s="83">
        <v>3</v>
      </c>
      <c r="M51" s="86">
        <f>19+50+40</f>
        <v>109</v>
      </c>
      <c r="N51" s="5">
        <f>24+28+16</f>
        <v>68</v>
      </c>
      <c r="O51" s="5">
        <f t="shared" si="37"/>
        <v>177</v>
      </c>
      <c r="P51" s="27">
        <f t="shared" si="31"/>
        <v>0.62385321100917435</v>
      </c>
      <c r="Q51" s="74">
        <f>24+4+2</f>
        <v>30</v>
      </c>
      <c r="R51" s="5">
        <f>20+3</f>
        <v>23</v>
      </c>
      <c r="S51" s="5">
        <f t="shared" si="38"/>
        <v>53</v>
      </c>
      <c r="T51" s="12">
        <f t="shared" si="32"/>
        <v>0.76666666666666672</v>
      </c>
      <c r="U51" s="170">
        <f t="shared" si="33"/>
        <v>1.2289215686274511</v>
      </c>
    </row>
    <row r="52" spans="1:21" x14ac:dyDescent="0.25">
      <c r="A52" s="56">
        <v>9</v>
      </c>
      <c r="B52" s="86">
        <f>41+20+24</f>
        <v>85</v>
      </c>
      <c r="C52" s="5">
        <f>25+9+8</f>
        <v>42</v>
      </c>
      <c r="D52" s="5">
        <f t="shared" si="34"/>
        <v>127</v>
      </c>
      <c r="E52" s="27">
        <f t="shared" si="29"/>
        <v>0.49411764705882355</v>
      </c>
      <c r="F52" s="74">
        <f>1+7+3</f>
        <v>11</v>
      </c>
      <c r="G52" s="5">
        <f>3</f>
        <v>3</v>
      </c>
      <c r="H52" s="5">
        <f t="shared" si="35"/>
        <v>14</v>
      </c>
      <c r="I52" s="12">
        <f t="shared" si="30"/>
        <v>0.27272727272727271</v>
      </c>
      <c r="J52" s="166">
        <f t="shared" si="36"/>
        <v>0.55194805194805185</v>
      </c>
      <c r="L52" s="88">
        <v>5</v>
      </c>
      <c r="M52" s="86">
        <f>20+43+48</f>
        <v>111</v>
      </c>
      <c r="N52" s="5">
        <f>11+18+20</f>
        <v>49</v>
      </c>
      <c r="O52" s="5">
        <f t="shared" si="37"/>
        <v>160</v>
      </c>
      <c r="P52" s="27">
        <f t="shared" si="31"/>
        <v>0.44144144144144143</v>
      </c>
      <c r="Q52" s="74">
        <f>32+4</f>
        <v>36</v>
      </c>
      <c r="R52" s="5">
        <f>18+1</f>
        <v>19</v>
      </c>
      <c r="S52" s="5">
        <f t="shared" si="38"/>
        <v>55</v>
      </c>
      <c r="T52" s="12">
        <f t="shared" si="32"/>
        <v>0.52777777777777779</v>
      </c>
      <c r="U52" s="170">
        <f t="shared" si="33"/>
        <v>1.1955782312925172</v>
      </c>
    </row>
    <row r="53" spans="1:21" x14ac:dyDescent="0.25">
      <c r="A53" s="56">
        <v>1</v>
      </c>
      <c r="B53" s="86">
        <f>43+18+46</f>
        <v>107</v>
      </c>
      <c r="C53" s="5">
        <f>14+8+21</f>
        <v>43</v>
      </c>
      <c r="D53" s="5">
        <f t="shared" si="34"/>
        <v>150</v>
      </c>
      <c r="E53" s="27">
        <f>C53/B53</f>
        <v>0.40186915887850466</v>
      </c>
      <c r="F53" s="74">
        <f>47+4</f>
        <v>51</v>
      </c>
      <c r="G53" s="5">
        <f>4</f>
        <v>4</v>
      </c>
      <c r="H53" s="5">
        <f t="shared" si="35"/>
        <v>55</v>
      </c>
      <c r="I53" s="12">
        <f>G53/F53</f>
        <v>7.8431372549019607E-2</v>
      </c>
      <c r="J53" s="166">
        <f t="shared" si="36"/>
        <v>0.19516643866849065</v>
      </c>
      <c r="L53" s="88">
        <v>6</v>
      </c>
      <c r="M53" s="86">
        <f>23+37+28</f>
        <v>88</v>
      </c>
      <c r="N53" s="5">
        <f>17+20+18</f>
        <v>55</v>
      </c>
      <c r="O53" s="5">
        <f t="shared" si="37"/>
        <v>143</v>
      </c>
      <c r="P53" s="27">
        <f t="shared" si="31"/>
        <v>0.625</v>
      </c>
      <c r="Q53" s="74">
        <f>21+1+5</f>
        <v>27</v>
      </c>
      <c r="R53" s="5">
        <f>15+3+2</f>
        <v>20</v>
      </c>
      <c r="S53" s="5">
        <f t="shared" si="38"/>
        <v>47</v>
      </c>
      <c r="T53" s="12">
        <f t="shared" si="32"/>
        <v>0.7407407407407407</v>
      </c>
      <c r="U53" s="170">
        <f t="shared" si="33"/>
        <v>1.1851851851851851</v>
      </c>
    </row>
    <row r="54" spans="1:21" x14ac:dyDescent="0.25">
      <c r="A54" s="56">
        <v>4</v>
      </c>
      <c r="B54" s="86">
        <f>30+29+38</f>
        <v>97</v>
      </c>
      <c r="C54" s="5">
        <f>6+6+40</f>
        <v>52</v>
      </c>
      <c r="D54" s="5">
        <f t="shared" si="34"/>
        <v>149</v>
      </c>
      <c r="E54" s="27">
        <f t="shared" ref="E54:E63" si="39">C54/B54</f>
        <v>0.53608247422680411</v>
      </c>
      <c r="F54" s="74">
        <f>44+15</f>
        <v>59</v>
      </c>
      <c r="G54" s="5">
        <v>2</v>
      </c>
      <c r="H54" s="5">
        <f t="shared" si="35"/>
        <v>61</v>
      </c>
      <c r="I54" s="12">
        <f t="shared" ref="I54:I63" si="40">G54/F54</f>
        <v>3.3898305084745763E-2</v>
      </c>
      <c r="J54" s="166">
        <f t="shared" si="36"/>
        <v>6.3233376792698831E-2</v>
      </c>
      <c r="L54" s="88">
        <v>1</v>
      </c>
      <c r="M54" s="86">
        <f>22+26+41</f>
        <v>89</v>
      </c>
      <c r="N54" s="5">
        <f>13+14+22</f>
        <v>49</v>
      </c>
      <c r="O54" s="5">
        <f t="shared" si="37"/>
        <v>138</v>
      </c>
      <c r="P54" s="27">
        <f t="shared" si="31"/>
        <v>0.550561797752809</v>
      </c>
      <c r="Q54" s="74">
        <f>29+5+9</f>
        <v>43</v>
      </c>
      <c r="R54" s="5">
        <f>28</f>
        <v>28</v>
      </c>
      <c r="S54" s="5">
        <f t="shared" si="38"/>
        <v>71</v>
      </c>
      <c r="T54" s="12">
        <f t="shared" si="32"/>
        <v>0.65116279069767447</v>
      </c>
      <c r="U54" s="170">
        <f t="shared" si="33"/>
        <v>1.1827242524916943</v>
      </c>
    </row>
    <row r="55" spans="1:21" x14ac:dyDescent="0.25">
      <c r="A55" s="56">
        <v>6</v>
      </c>
      <c r="B55" s="86">
        <f>37+10+43</f>
        <v>90</v>
      </c>
      <c r="C55" s="5">
        <f>17+8+19</f>
        <v>44</v>
      </c>
      <c r="D55" s="5">
        <f t="shared" si="34"/>
        <v>134</v>
      </c>
      <c r="E55" s="27">
        <f t="shared" si="39"/>
        <v>0.48888888888888887</v>
      </c>
      <c r="F55" s="74">
        <f>47+10</f>
        <v>57</v>
      </c>
      <c r="G55" s="5">
        <f>4</f>
        <v>4</v>
      </c>
      <c r="H55" s="5">
        <f t="shared" si="35"/>
        <v>61</v>
      </c>
      <c r="I55" s="12">
        <f t="shared" si="40"/>
        <v>7.0175438596491224E-2</v>
      </c>
      <c r="J55" s="166">
        <f t="shared" si="36"/>
        <v>0.14354066985645933</v>
      </c>
      <c r="L55" s="88">
        <v>8</v>
      </c>
      <c r="M55" s="86">
        <f>22+25+49</f>
        <v>96</v>
      </c>
      <c r="N55" s="5">
        <f>17+17+19</f>
        <v>53</v>
      </c>
      <c r="O55" s="5">
        <f t="shared" si="37"/>
        <v>149</v>
      </c>
      <c r="P55" s="27">
        <f t="shared" si="31"/>
        <v>0.55208333333333337</v>
      </c>
      <c r="Q55" s="74">
        <f>37+4+3</f>
        <v>44</v>
      </c>
      <c r="R55" s="5">
        <f>24+2+1</f>
        <v>27</v>
      </c>
      <c r="S55" s="5">
        <f t="shared" si="38"/>
        <v>71</v>
      </c>
      <c r="T55" s="12">
        <f t="shared" si="32"/>
        <v>0.61363636363636365</v>
      </c>
      <c r="U55" s="170">
        <f t="shared" si="33"/>
        <v>1.1114922813036019</v>
      </c>
    </row>
    <row r="56" spans="1:21" x14ac:dyDescent="0.25">
      <c r="A56" s="56">
        <v>7</v>
      </c>
      <c r="B56" s="86">
        <f>22+24+53</f>
        <v>99</v>
      </c>
      <c r="C56" s="5">
        <f>19+11+23</f>
        <v>53</v>
      </c>
      <c r="D56" s="5">
        <f t="shared" si="34"/>
        <v>152</v>
      </c>
      <c r="E56" s="27">
        <f t="shared" si="39"/>
        <v>0.53535353535353536</v>
      </c>
      <c r="F56" s="74">
        <f>47+4</f>
        <v>51</v>
      </c>
      <c r="G56" s="5">
        <f>5</f>
        <v>5</v>
      </c>
      <c r="H56" s="5">
        <f t="shared" si="35"/>
        <v>56</v>
      </c>
      <c r="I56" s="12">
        <f t="shared" si="40"/>
        <v>9.8039215686274508E-2</v>
      </c>
      <c r="J56" s="166">
        <f t="shared" si="36"/>
        <v>0.18312985571587126</v>
      </c>
      <c r="L56" s="88">
        <v>4</v>
      </c>
      <c r="M56" s="86">
        <f>20+49+22</f>
        <v>91</v>
      </c>
      <c r="N56" s="5">
        <f>16+19+11</f>
        <v>46</v>
      </c>
      <c r="O56" s="5">
        <f t="shared" si="37"/>
        <v>137</v>
      </c>
      <c r="P56" s="27">
        <f t="shared" si="31"/>
        <v>0.50549450549450547</v>
      </c>
      <c r="Q56" s="74">
        <f>44+3</f>
        <v>47</v>
      </c>
      <c r="R56" s="5">
        <f>24+2</f>
        <v>26</v>
      </c>
      <c r="S56" s="5">
        <f t="shared" si="38"/>
        <v>73</v>
      </c>
      <c r="T56" s="12">
        <f t="shared" si="32"/>
        <v>0.55319148936170215</v>
      </c>
      <c r="U56" s="170">
        <f t="shared" si="33"/>
        <v>1.0943570767807587</v>
      </c>
    </row>
    <row r="57" spans="1:21" x14ac:dyDescent="0.25">
      <c r="A57" s="56">
        <v>10</v>
      </c>
      <c r="B57" s="86">
        <f>27+18+51</f>
        <v>96</v>
      </c>
      <c r="C57" s="5">
        <f>16+16+33</f>
        <v>65</v>
      </c>
      <c r="D57" s="5">
        <f t="shared" si="34"/>
        <v>161</v>
      </c>
      <c r="E57" s="27">
        <f t="shared" si="39"/>
        <v>0.67708333333333337</v>
      </c>
      <c r="F57" s="74">
        <f>46+2</f>
        <v>48</v>
      </c>
      <c r="G57" s="5">
        <f>11</f>
        <v>11</v>
      </c>
      <c r="H57" s="5">
        <f t="shared" si="35"/>
        <v>59</v>
      </c>
      <c r="I57" s="12">
        <f t="shared" si="40"/>
        <v>0.22916666666666666</v>
      </c>
      <c r="J57" s="166">
        <f>I57/E57</f>
        <v>0.33846153846153842</v>
      </c>
      <c r="L57" s="88">
        <v>9</v>
      </c>
      <c r="M57" s="86">
        <f>18+49+44</f>
        <v>111</v>
      </c>
      <c r="N57" s="5">
        <f>21+26+23</f>
        <v>70</v>
      </c>
      <c r="O57" s="5">
        <f t="shared" si="37"/>
        <v>181</v>
      </c>
      <c r="P57" s="27">
        <f t="shared" si="31"/>
        <v>0.63063063063063063</v>
      </c>
      <c r="Q57" s="74">
        <f>77+8</f>
        <v>85</v>
      </c>
      <c r="R57" s="5">
        <f>48+3</f>
        <v>51</v>
      </c>
      <c r="S57" s="5">
        <f t="shared" si="38"/>
        <v>136</v>
      </c>
      <c r="T57" s="12">
        <f t="shared" si="32"/>
        <v>0.6</v>
      </c>
      <c r="U57" s="170">
        <f t="shared" si="33"/>
        <v>0.9514285714285714</v>
      </c>
    </row>
    <row r="58" spans="1:21" x14ac:dyDescent="0.25">
      <c r="A58" s="56">
        <v>2</v>
      </c>
      <c r="B58" s="86">
        <f>28+20+11</f>
        <v>59</v>
      </c>
      <c r="C58" s="5">
        <f>11+10+14</f>
        <v>35</v>
      </c>
      <c r="D58" s="5">
        <f t="shared" si="34"/>
        <v>94</v>
      </c>
      <c r="E58" s="27">
        <f t="shared" si="39"/>
        <v>0.59322033898305082</v>
      </c>
      <c r="F58" s="74">
        <f>18+4</f>
        <v>22</v>
      </c>
      <c r="G58" s="5">
        <f>0</f>
        <v>0</v>
      </c>
      <c r="H58" s="5">
        <f t="shared" si="35"/>
        <v>22</v>
      </c>
      <c r="I58" s="12">
        <f t="shared" si="40"/>
        <v>0</v>
      </c>
      <c r="J58" s="166">
        <f t="shared" ref="J58:J63" si="41">I58/E58</f>
        <v>0</v>
      </c>
      <c r="L58" s="83">
        <v>3</v>
      </c>
      <c r="M58" s="86">
        <f>26+33+47</f>
        <v>106</v>
      </c>
      <c r="N58" s="5">
        <f>9+24+29</f>
        <v>62</v>
      </c>
      <c r="O58" s="5">
        <f t="shared" si="37"/>
        <v>168</v>
      </c>
      <c r="P58" s="27">
        <f t="shared" si="31"/>
        <v>0.58490566037735847</v>
      </c>
      <c r="Q58" s="74">
        <f>46+2</f>
        <v>48</v>
      </c>
      <c r="R58" s="5">
        <f>24+2</f>
        <v>26</v>
      </c>
      <c r="S58" s="5">
        <f t="shared" si="38"/>
        <v>74</v>
      </c>
      <c r="T58" s="12">
        <f t="shared" si="32"/>
        <v>0.54166666666666663</v>
      </c>
      <c r="U58" s="170">
        <f t="shared" si="33"/>
        <v>0.92607526881720426</v>
      </c>
    </row>
    <row r="59" spans="1:21" x14ac:dyDescent="0.25">
      <c r="A59" s="56">
        <v>3</v>
      </c>
      <c r="B59" s="86">
        <f>37+21+31</f>
        <v>89</v>
      </c>
      <c r="C59" s="5">
        <f>19+8+18</f>
        <v>45</v>
      </c>
      <c r="D59" s="5">
        <f t="shared" si="34"/>
        <v>134</v>
      </c>
      <c r="E59" s="27">
        <f t="shared" si="39"/>
        <v>0.5056179775280899</v>
      </c>
      <c r="F59" s="74">
        <f>41</f>
        <v>41</v>
      </c>
      <c r="G59" s="5">
        <f>2</f>
        <v>2</v>
      </c>
      <c r="H59" s="5">
        <f t="shared" si="35"/>
        <v>43</v>
      </c>
      <c r="I59" s="12">
        <f t="shared" si="40"/>
        <v>4.878048780487805E-2</v>
      </c>
      <c r="J59" s="166">
        <f t="shared" si="41"/>
        <v>9.6476964769647691E-2</v>
      </c>
      <c r="L59" s="88">
        <v>8</v>
      </c>
      <c r="M59" s="86">
        <f>25+23+5</f>
        <v>53</v>
      </c>
      <c r="N59" s="5">
        <f>15+13+1</f>
        <v>29</v>
      </c>
      <c r="O59" s="5">
        <f t="shared" si="37"/>
        <v>82</v>
      </c>
      <c r="P59" s="27">
        <f t="shared" si="31"/>
        <v>0.54716981132075471</v>
      </c>
      <c r="Q59" s="74">
        <f>45+4</f>
        <v>49</v>
      </c>
      <c r="R59" s="5">
        <f>24</f>
        <v>24</v>
      </c>
      <c r="S59" s="5">
        <f t="shared" si="38"/>
        <v>73</v>
      </c>
      <c r="T59" s="12">
        <f t="shared" si="32"/>
        <v>0.48979591836734693</v>
      </c>
      <c r="U59" s="170">
        <f t="shared" si="33"/>
        <v>0.89514426460239271</v>
      </c>
    </row>
    <row r="60" spans="1:21" x14ac:dyDescent="0.25">
      <c r="A60" s="56">
        <v>4</v>
      </c>
      <c r="B60" s="86">
        <f>19+26+27</f>
        <v>72</v>
      </c>
      <c r="C60" s="5">
        <f>11+14+18</f>
        <v>43</v>
      </c>
      <c r="D60" s="5">
        <f t="shared" si="34"/>
        <v>115</v>
      </c>
      <c r="E60" s="27">
        <f t="shared" si="39"/>
        <v>0.59722222222222221</v>
      </c>
      <c r="F60" s="74">
        <f>26+5</f>
        <v>31</v>
      </c>
      <c r="G60" s="5">
        <f>1</f>
        <v>1</v>
      </c>
      <c r="H60" s="5">
        <f t="shared" si="35"/>
        <v>32</v>
      </c>
      <c r="I60" s="12">
        <f t="shared" si="40"/>
        <v>3.2258064516129031E-2</v>
      </c>
      <c r="J60" s="166">
        <f t="shared" si="41"/>
        <v>5.4013503375843958E-2</v>
      </c>
      <c r="L60" s="88">
        <v>2</v>
      </c>
      <c r="M60" s="86">
        <f>22+22+41</f>
        <v>85</v>
      </c>
      <c r="N60" s="5">
        <f>15+25+28</f>
        <v>68</v>
      </c>
      <c r="O60" s="5">
        <f t="shared" si="37"/>
        <v>153</v>
      </c>
      <c r="P60" s="27">
        <f t="shared" si="31"/>
        <v>0.8</v>
      </c>
      <c r="Q60" s="74">
        <f>21+4+1</f>
        <v>26</v>
      </c>
      <c r="R60" s="5">
        <f>15+1+2</f>
        <v>18</v>
      </c>
      <c r="S60" s="5">
        <f t="shared" si="38"/>
        <v>44</v>
      </c>
      <c r="T60" s="12">
        <f t="shared" si="32"/>
        <v>0.69230769230769229</v>
      </c>
      <c r="U60" s="170">
        <f t="shared" si="33"/>
        <v>0.86538461538461531</v>
      </c>
    </row>
    <row r="61" spans="1:21" x14ac:dyDescent="0.25">
      <c r="A61" s="56">
        <v>5</v>
      </c>
      <c r="B61" s="86">
        <f>25+9+1</f>
        <v>35</v>
      </c>
      <c r="C61" s="5">
        <f>13+6</f>
        <v>19</v>
      </c>
      <c r="D61" s="5">
        <f t="shared" si="34"/>
        <v>54</v>
      </c>
      <c r="E61" s="27">
        <f t="shared" si="39"/>
        <v>0.54285714285714282</v>
      </c>
      <c r="F61" s="74">
        <f>19+13</f>
        <v>32</v>
      </c>
      <c r="G61" s="5">
        <f>1</f>
        <v>1</v>
      </c>
      <c r="H61" s="5">
        <f t="shared" si="35"/>
        <v>33</v>
      </c>
      <c r="I61" s="12">
        <f t="shared" si="40"/>
        <v>3.125E-2</v>
      </c>
      <c r="J61" s="166">
        <f t="shared" si="41"/>
        <v>5.7565789473684216E-2</v>
      </c>
      <c r="L61" s="88">
        <v>5</v>
      </c>
      <c r="M61" s="86">
        <f>20+43+41</f>
        <v>104</v>
      </c>
      <c r="N61" s="5">
        <f>13+22+13</f>
        <v>48</v>
      </c>
      <c r="O61" s="5">
        <f t="shared" si="37"/>
        <v>152</v>
      </c>
      <c r="P61" s="27">
        <f t="shared" si="31"/>
        <v>0.46153846153846156</v>
      </c>
      <c r="Q61" s="74">
        <f>38</f>
        <v>38</v>
      </c>
      <c r="R61" s="5">
        <f>15</f>
        <v>15</v>
      </c>
      <c r="S61" s="5">
        <f t="shared" si="38"/>
        <v>53</v>
      </c>
      <c r="T61" s="12">
        <f t="shared" si="32"/>
        <v>0.39473684210526316</v>
      </c>
      <c r="U61" s="170">
        <f t="shared" si="33"/>
        <v>0.85526315789473684</v>
      </c>
    </row>
    <row r="62" spans="1:21" x14ac:dyDescent="0.25">
      <c r="A62" s="56">
        <v>6</v>
      </c>
      <c r="B62" s="86">
        <f>28+35+28</f>
        <v>91</v>
      </c>
      <c r="C62" s="5">
        <f>10+21+18</f>
        <v>49</v>
      </c>
      <c r="D62" s="5">
        <f t="shared" si="34"/>
        <v>140</v>
      </c>
      <c r="E62" s="27">
        <f t="shared" si="39"/>
        <v>0.53846153846153844</v>
      </c>
      <c r="F62" s="74">
        <f>29</f>
        <v>29</v>
      </c>
      <c r="G62" s="5">
        <f>2</f>
        <v>2</v>
      </c>
      <c r="H62" s="5">
        <f t="shared" si="35"/>
        <v>31</v>
      </c>
      <c r="I62" s="12">
        <f t="shared" si="40"/>
        <v>6.8965517241379309E-2</v>
      </c>
      <c r="J62" s="166">
        <f t="shared" si="41"/>
        <v>0.12807881773399016</v>
      </c>
      <c r="L62" s="88">
        <v>9</v>
      </c>
      <c r="M62" s="86">
        <f>20+35+39</f>
        <v>94</v>
      </c>
      <c r="N62" s="5">
        <f>19+24+24</f>
        <v>67</v>
      </c>
      <c r="O62" s="5">
        <f t="shared" si="37"/>
        <v>161</v>
      </c>
      <c r="P62" s="27">
        <f t="shared" si="31"/>
        <v>0.71276595744680848</v>
      </c>
      <c r="Q62" s="74">
        <f>25+6+10</f>
        <v>41</v>
      </c>
      <c r="R62" s="5">
        <f>18+1+5</f>
        <v>24</v>
      </c>
      <c r="S62" s="5">
        <f t="shared" si="38"/>
        <v>65</v>
      </c>
      <c r="T62" s="12">
        <f t="shared" si="32"/>
        <v>0.58536585365853655</v>
      </c>
      <c r="U62" s="170">
        <f t="shared" si="33"/>
        <v>0.8212595558791409</v>
      </c>
    </row>
    <row r="63" spans="1:21" ht="15.75" thickBot="1" x14ac:dyDescent="0.3">
      <c r="A63" s="103">
        <v>8</v>
      </c>
      <c r="B63" s="104">
        <f>26+14+25</f>
        <v>65</v>
      </c>
      <c r="C63" s="68">
        <f>11+8+26</f>
        <v>45</v>
      </c>
      <c r="D63" s="5">
        <f t="shared" si="34"/>
        <v>110</v>
      </c>
      <c r="E63" s="107">
        <f t="shared" si="39"/>
        <v>0.69230769230769229</v>
      </c>
      <c r="F63" s="75">
        <f>29+6</f>
        <v>35</v>
      </c>
      <c r="G63" s="13">
        <v>0</v>
      </c>
      <c r="H63" s="5">
        <f t="shared" si="35"/>
        <v>35</v>
      </c>
      <c r="I63" s="15">
        <f t="shared" si="40"/>
        <v>0</v>
      </c>
      <c r="J63" s="177">
        <f t="shared" si="41"/>
        <v>0</v>
      </c>
      <c r="L63" s="88">
        <v>7</v>
      </c>
      <c r="M63" s="86">
        <f>24+44+32</f>
        <v>100</v>
      </c>
      <c r="N63" s="5">
        <f>22+20+16</f>
        <v>58</v>
      </c>
      <c r="O63" s="5">
        <f t="shared" si="37"/>
        <v>158</v>
      </c>
      <c r="P63" s="27">
        <f t="shared" si="31"/>
        <v>0.57999999999999996</v>
      </c>
      <c r="Q63" s="74">
        <f>43</f>
        <v>43</v>
      </c>
      <c r="R63" s="5">
        <f>18</f>
        <v>18</v>
      </c>
      <c r="S63" s="5">
        <f t="shared" si="38"/>
        <v>61</v>
      </c>
      <c r="T63" s="12">
        <f t="shared" si="32"/>
        <v>0.41860465116279072</v>
      </c>
      <c r="U63" s="170">
        <f t="shared" si="33"/>
        <v>0.72173215717722539</v>
      </c>
    </row>
    <row r="64" spans="1:21" ht="15.75" thickBot="1" x14ac:dyDescent="0.3">
      <c r="A64" s="22">
        <f>COUNT(A45:A63)</f>
        <v>19</v>
      </c>
      <c r="B64" s="25">
        <f>SUM(B45:B63)</f>
        <v>1598</v>
      </c>
      <c r="C64" s="25">
        <f>SUM(C45:C63)</f>
        <v>856</v>
      </c>
      <c r="D64" s="25">
        <f>SUM(B64:C64)</f>
        <v>2454</v>
      </c>
      <c r="E64" s="24">
        <f>C64/B64</f>
        <v>0.53566958698372968</v>
      </c>
      <c r="F64" s="25">
        <f>SUM(F45:F63)</f>
        <v>847</v>
      </c>
      <c r="G64" s="25">
        <f>SUM(G45:G63)</f>
        <v>58</v>
      </c>
      <c r="H64" s="25">
        <f>SUM(F64:G64)</f>
        <v>905</v>
      </c>
      <c r="I64" s="105">
        <f>AVERAGE(I45:I63)</f>
        <v>7.3152771340482467E-2</v>
      </c>
      <c r="J64" s="24">
        <f>AVERAGE(J45:J63)</f>
        <v>0.13636238388484476</v>
      </c>
      <c r="L64" s="95">
        <v>6</v>
      </c>
      <c r="M64" s="87">
        <f>17+32+18</f>
        <v>67</v>
      </c>
      <c r="N64" s="13">
        <f>9+10+9</f>
        <v>28</v>
      </c>
      <c r="O64" s="5">
        <f t="shared" si="37"/>
        <v>95</v>
      </c>
      <c r="P64" s="34">
        <f t="shared" si="31"/>
        <v>0.41791044776119401</v>
      </c>
      <c r="Q64" s="75">
        <f>38+2</f>
        <v>40</v>
      </c>
      <c r="R64" s="13">
        <f>12</f>
        <v>12</v>
      </c>
      <c r="S64" s="5">
        <f t="shared" si="38"/>
        <v>52</v>
      </c>
      <c r="T64" s="15">
        <f t="shared" si="32"/>
        <v>0.3</v>
      </c>
      <c r="U64" s="176">
        <f t="shared" si="33"/>
        <v>0.71785714285714286</v>
      </c>
    </row>
    <row r="65" spans="4:43" ht="15.75" thickBot="1" x14ac:dyDescent="0.3">
      <c r="D65" s="22">
        <f>AVERAGE(D45:D63)</f>
        <v>129.15789473684211</v>
      </c>
      <c r="H65" s="22">
        <f>AVERAGE(H45:H63)</f>
        <v>47.631578947368418</v>
      </c>
      <c r="J65" s="24">
        <f>STDEV(J45:J63)</f>
        <v>0.13006799776378181</v>
      </c>
      <c r="L65" s="22">
        <f>COUNT(L45:L64)</f>
        <v>20</v>
      </c>
      <c r="M65" s="25">
        <f>SUM(M45:M64)</f>
        <v>1866</v>
      </c>
      <c r="N65" s="25">
        <f>SUM(N45:N64)</f>
        <v>1035</v>
      </c>
      <c r="O65" s="25">
        <f>SUM(M65:N65)</f>
        <v>2901</v>
      </c>
      <c r="P65" s="24">
        <f>AVERAGE(P45:P64)</f>
        <v>0.55521640282596574</v>
      </c>
      <c r="Q65" s="25">
        <f>SUM(Q45:Q64)</f>
        <v>775</v>
      </c>
      <c r="R65" s="25">
        <f>SUM(R45:R64)</f>
        <v>471</v>
      </c>
      <c r="S65" s="25">
        <f>SUM(Q65:R65)</f>
        <v>1246</v>
      </c>
      <c r="T65" s="24">
        <f>AVERAGE(T45:T64)</f>
        <v>0.64288341442044195</v>
      </c>
      <c r="U65" s="28">
        <f>AVERAGE(U45:U64)</f>
        <v>1.1698339888245659</v>
      </c>
    </row>
    <row r="66" spans="4:43" ht="15.75" thickBot="1" x14ac:dyDescent="0.3">
      <c r="D66" s="22">
        <f>STDEV(D45:D63)</f>
        <v>24.745960743107478</v>
      </c>
      <c r="H66" s="22">
        <f>STDEV(H45:H63)</f>
        <v>15.653223048716375</v>
      </c>
      <c r="J66" s="24">
        <f>J65/SQRT(A64)</f>
        <v>2.9839645160052587E-2</v>
      </c>
      <c r="O66" s="22">
        <f>AVERAGE(O45:O64)</f>
        <v>145.05000000000001</v>
      </c>
      <c r="S66" s="22">
        <f>AVERAGE(S45:S64)</f>
        <v>62.3</v>
      </c>
      <c r="U66" s="24">
        <f>STDEV(U45:U64)</f>
        <v>0.35265009912682288</v>
      </c>
    </row>
    <row r="67" spans="4:43" ht="15.75" thickBot="1" x14ac:dyDescent="0.3">
      <c r="O67" s="22">
        <f>STDEV(O45:O64)</f>
        <v>27.356275138872338</v>
      </c>
      <c r="S67" s="22">
        <f>STDEV(S45:S64)</f>
        <v>22.875176156928852</v>
      </c>
      <c r="U67" s="24">
        <f>U66/SQRT(L65)</f>
        <v>7.8854959391961521E-2</v>
      </c>
    </row>
    <row r="69" spans="4:43" ht="15.75" thickBot="1" x14ac:dyDescent="0.3"/>
    <row r="70" spans="4:43" x14ac:dyDescent="0.25">
      <c r="W70" s="191" t="s">
        <v>3</v>
      </c>
      <c r="X70" s="179" t="s">
        <v>9</v>
      </c>
      <c r="Y70" s="179"/>
      <c r="Z70" s="179"/>
      <c r="AA70" s="179"/>
      <c r="AB70" s="184" t="s">
        <v>12</v>
      </c>
      <c r="AC70" s="182"/>
      <c r="AD70" s="182"/>
      <c r="AE70" s="183"/>
      <c r="AF70" s="186" t="s">
        <v>7</v>
      </c>
      <c r="AH70" s="191" t="s">
        <v>3</v>
      </c>
      <c r="AI70" s="179" t="s">
        <v>9</v>
      </c>
      <c r="AJ70" s="179"/>
      <c r="AK70" s="179"/>
      <c r="AL70" s="179"/>
      <c r="AM70" s="184" t="s">
        <v>12</v>
      </c>
      <c r="AN70" s="182"/>
      <c r="AO70" s="182"/>
      <c r="AP70" s="183"/>
      <c r="AQ70" s="186" t="s">
        <v>7</v>
      </c>
    </row>
    <row r="71" spans="4:43" ht="15.75" thickBot="1" x14ac:dyDescent="0.3">
      <c r="W71" s="193"/>
      <c r="X71" s="44" t="s">
        <v>4</v>
      </c>
      <c r="Y71" s="44" t="s">
        <v>5</v>
      </c>
      <c r="Z71" s="69" t="s">
        <v>17</v>
      </c>
      <c r="AA71" s="44" t="s">
        <v>6</v>
      </c>
      <c r="AB71" s="78" t="s">
        <v>4</v>
      </c>
      <c r="AC71" s="44" t="s">
        <v>5</v>
      </c>
      <c r="AD71" s="69" t="s">
        <v>17</v>
      </c>
      <c r="AE71" s="79" t="s">
        <v>6</v>
      </c>
      <c r="AF71" s="187"/>
      <c r="AH71" s="193"/>
      <c r="AI71" s="44" t="s">
        <v>4</v>
      </c>
      <c r="AJ71" s="44" t="s">
        <v>5</v>
      </c>
      <c r="AK71" s="69" t="s">
        <v>17</v>
      </c>
      <c r="AL71" s="44" t="s">
        <v>6</v>
      </c>
      <c r="AM71" s="78" t="s">
        <v>4</v>
      </c>
      <c r="AN71" s="44" t="s">
        <v>5</v>
      </c>
      <c r="AO71" s="69" t="s">
        <v>17</v>
      </c>
      <c r="AP71" s="79" t="s">
        <v>6</v>
      </c>
      <c r="AQ71" s="194"/>
    </row>
    <row r="72" spans="4:43" x14ac:dyDescent="0.25">
      <c r="W72" s="108">
        <v>1</v>
      </c>
      <c r="X72" s="89">
        <f>26+33+39</f>
        <v>98</v>
      </c>
      <c r="Y72" s="9">
        <f>27+24+17</f>
        <v>68</v>
      </c>
      <c r="Z72" s="63">
        <f>SUM(X72:Y72)</f>
        <v>166</v>
      </c>
      <c r="AA72" s="33">
        <f t="shared" ref="AA72:AA78" si="42">Y72/X72</f>
        <v>0.69387755102040816</v>
      </c>
      <c r="AB72" s="109">
        <f>36+45+7</f>
        <v>88</v>
      </c>
      <c r="AC72" s="63">
        <f>6+13+2</f>
        <v>21</v>
      </c>
      <c r="AD72" s="63">
        <f>SUM(AB72:AC72)</f>
        <v>109</v>
      </c>
      <c r="AE72" s="65">
        <f>AC72/AB72</f>
        <v>0.23863636363636365</v>
      </c>
      <c r="AF72" s="165">
        <f>AE72/AA72</f>
        <v>0.34391711229946526</v>
      </c>
      <c r="AH72" s="108">
        <v>1</v>
      </c>
      <c r="AI72" s="102">
        <f>25+30+17</f>
        <v>72</v>
      </c>
      <c r="AJ72" s="63">
        <f>4+14+5</f>
        <v>23</v>
      </c>
      <c r="AK72" s="63">
        <f>SUM(AI72:AJ72)</f>
        <v>95</v>
      </c>
      <c r="AL72" s="106">
        <f t="shared" ref="AL72:AL88" si="43">AJ72/AI72</f>
        <v>0.31944444444444442</v>
      </c>
      <c r="AM72" s="109">
        <f>36+30+1</f>
        <v>67</v>
      </c>
      <c r="AN72" s="63">
        <v>1</v>
      </c>
      <c r="AO72" s="63">
        <f>SUM(AM72:AN72)</f>
        <v>68</v>
      </c>
      <c r="AP72" s="65">
        <f t="shared" ref="AP72:AP81" si="44">AN72/AM72</f>
        <v>1.4925373134328358E-2</v>
      </c>
      <c r="AQ72" s="167">
        <f>AP72/AL72</f>
        <v>4.6722907203114866E-2</v>
      </c>
    </row>
    <row r="73" spans="4:43" x14ac:dyDescent="0.25">
      <c r="W73" s="88">
        <v>2</v>
      </c>
      <c r="X73" s="86">
        <f>21+23+8</f>
        <v>52</v>
      </c>
      <c r="Y73" s="5">
        <f>7+15+4</f>
        <v>26</v>
      </c>
      <c r="Z73" s="5">
        <f t="shared" ref="Z73:Z97" si="45">SUM(X73:Y73)</f>
        <v>78</v>
      </c>
      <c r="AA73" s="27">
        <f t="shared" si="42"/>
        <v>0.5</v>
      </c>
      <c r="AB73" s="74">
        <f>39+45+10</f>
        <v>94</v>
      </c>
      <c r="AC73" s="5">
        <f>4+8+2</f>
        <v>14</v>
      </c>
      <c r="AD73" s="5">
        <f t="shared" ref="AD73:AD97" si="46">SUM(AB73:AC73)</f>
        <v>108</v>
      </c>
      <c r="AE73" s="12">
        <f t="shared" ref="AE73:AE81" si="47">AC73/AB73</f>
        <v>0.14893617021276595</v>
      </c>
      <c r="AF73" s="166">
        <f t="shared" ref="AF73:AF97" si="48">AE73/AA73</f>
        <v>0.2978723404255319</v>
      </c>
      <c r="AH73" s="88">
        <v>2</v>
      </c>
      <c r="AI73" s="86">
        <f>25+34+33</f>
        <v>92</v>
      </c>
      <c r="AJ73" s="5">
        <f>3+7+3</f>
        <v>13</v>
      </c>
      <c r="AK73" s="5">
        <f t="shared" ref="AK73:AK90" si="49">SUM(AI73:AJ73)</f>
        <v>105</v>
      </c>
      <c r="AL73" s="27">
        <f t="shared" si="43"/>
        <v>0.14130434782608695</v>
      </c>
      <c r="AM73" s="74">
        <f>30+45+6</f>
        <v>81</v>
      </c>
      <c r="AN73" s="5">
        <v>0</v>
      </c>
      <c r="AO73" s="5">
        <f t="shared" ref="AO73:AO90" si="50">SUM(AM73:AN73)</f>
        <v>81</v>
      </c>
      <c r="AP73" s="12">
        <f t="shared" si="44"/>
        <v>0</v>
      </c>
      <c r="AQ73" s="166">
        <f t="shared" ref="AQ73:AQ90" si="51">AP73/AL73</f>
        <v>0</v>
      </c>
    </row>
    <row r="74" spans="4:43" x14ac:dyDescent="0.25">
      <c r="W74" s="83">
        <v>3</v>
      </c>
      <c r="X74" s="86">
        <f>29+24+48</f>
        <v>101</v>
      </c>
      <c r="Y74" s="5">
        <f>13+20+19</f>
        <v>52</v>
      </c>
      <c r="Z74" s="5">
        <f t="shared" si="45"/>
        <v>153</v>
      </c>
      <c r="AA74" s="27">
        <f t="shared" si="42"/>
        <v>0.51485148514851486</v>
      </c>
      <c r="AB74" s="74">
        <f>30+62+10</f>
        <v>102</v>
      </c>
      <c r="AC74" s="5">
        <f>2+10+7</f>
        <v>19</v>
      </c>
      <c r="AD74" s="5">
        <f t="shared" si="46"/>
        <v>121</v>
      </c>
      <c r="AE74" s="12">
        <f t="shared" si="47"/>
        <v>0.18627450980392157</v>
      </c>
      <c r="AF74" s="166">
        <f t="shared" si="48"/>
        <v>0.3618024132730015</v>
      </c>
      <c r="AH74" s="83">
        <v>3</v>
      </c>
      <c r="AI74" s="86">
        <f>36+28+27</f>
        <v>91</v>
      </c>
      <c r="AJ74" s="5">
        <f>5+7+14</f>
        <v>26</v>
      </c>
      <c r="AK74" s="5">
        <f t="shared" si="49"/>
        <v>117</v>
      </c>
      <c r="AL74" s="27">
        <f t="shared" si="43"/>
        <v>0.2857142857142857</v>
      </c>
      <c r="AM74" s="74">
        <f>39+45+5</f>
        <v>89</v>
      </c>
      <c r="AN74" s="5">
        <v>1</v>
      </c>
      <c r="AO74" s="5">
        <f t="shared" si="50"/>
        <v>90</v>
      </c>
      <c r="AP74" s="12">
        <f t="shared" si="44"/>
        <v>1.1235955056179775E-2</v>
      </c>
      <c r="AQ74" s="166">
        <f t="shared" si="51"/>
        <v>3.9325842696629212E-2</v>
      </c>
    </row>
    <row r="75" spans="4:43" x14ac:dyDescent="0.25">
      <c r="W75" s="88">
        <v>4</v>
      </c>
      <c r="X75" s="86">
        <f>33+35+13</f>
        <v>81</v>
      </c>
      <c r="Y75" s="5">
        <f>25+17+12</f>
        <v>54</v>
      </c>
      <c r="Z75" s="5">
        <f t="shared" si="45"/>
        <v>135</v>
      </c>
      <c r="AA75" s="27">
        <f t="shared" si="42"/>
        <v>0.66666666666666663</v>
      </c>
      <c r="AB75" s="74">
        <f>31+56+11</f>
        <v>98</v>
      </c>
      <c r="AC75" s="5">
        <f>6+12+2</f>
        <v>20</v>
      </c>
      <c r="AD75" s="5">
        <f t="shared" si="46"/>
        <v>118</v>
      </c>
      <c r="AE75" s="12">
        <f t="shared" si="47"/>
        <v>0.20408163265306123</v>
      </c>
      <c r="AF75" s="166">
        <f t="shared" si="48"/>
        <v>0.30612244897959184</v>
      </c>
      <c r="AH75" s="88">
        <v>4</v>
      </c>
      <c r="AI75" s="86">
        <f>39+30+9</f>
        <v>78</v>
      </c>
      <c r="AJ75" s="5">
        <f>4+4+10</f>
        <v>18</v>
      </c>
      <c r="AK75" s="5">
        <f t="shared" si="49"/>
        <v>96</v>
      </c>
      <c r="AL75" s="27">
        <f t="shared" si="43"/>
        <v>0.23076923076923078</v>
      </c>
      <c r="AM75" s="74">
        <f>27+40+1</f>
        <v>68</v>
      </c>
      <c r="AN75" s="5">
        <v>0</v>
      </c>
      <c r="AO75" s="5">
        <f t="shared" si="50"/>
        <v>68</v>
      </c>
      <c r="AP75" s="12">
        <f t="shared" si="44"/>
        <v>0</v>
      </c>
      <c r="AQ75" s="166">
        <f t="shared" si="51"/>
        <v>0</v>
      </c>
    </row>
    <row r="76" spans="4:43" x14ac:dyDescent="0.25">
      <c r="W76" s="88">
        <v>5</v>
      </c>
      <c r="X76" s="86">
        <f>31+34+40</f>
        <v>105</v>
      </c>
      <c r="Y76" s="5">
        <f>18+18+15</f>
        <v>51</v>
      </c>
      <c r="Z76" s="5">
        <f t="shared" si="45"/>
        <v>156</v>
      </c>
      <c r="AA76" s="27">
        <f t="shared" si="42"/>
        <v>0.48571428571428571</v>
      </c>
      <c r="AB76" s="74">
        <f>29+56+22</f>
        <v>107</v>
      </c>
      <c r="AC76" s="5">
        <f>5+15+6</f>
        <v>26</v>
      </c>
      <c r="AD76" s="5">
        <f t="shared" si="46"/>
        <v>133</v>
      </c>
      <c r="AE76" s="12">
        <f t="shared" si="47"/>
        <v>0.24299065420560748</v>
      </c>
      <c r="AF76" s="166">
        <f t="shared" si="48"/>
        <v>0.50027487630566247</v>
      </c>
      <c r="AH76" s="88">
        <v>5</v>
      </c>
      <c r="AI76" s="86">
        <f>29+22+11</f>
        <v>62</v>
      </c>
      <c r="AJ76" s="5">
        <f>2+11+7</f>
        <v>20</v>
      </c>
      <c r="AK76" s="5">
        <f t="shared" si="49"/>
        <v>82</v>
      </c>
      <c r="AL76" s="27">
        <f t="shared" si="43"/>
        <v>0.32258064516129031</v>
      </c>
      <c r="AM76" s="74">
        <f>21+5</f>
        <v>26</v>
      </c>
      <c r="AN76" s="5">
        <v>0</v>
      </c>
      <c r="AO76" s="5">
        <f t="shared" si="50"/>
        <v>26</v>
      </c>
      <c r="AP76" s="12">
        <f t="shared" si="44"/>
        <v>0</v>
      </c>
      <c r="AQ76" s="166">
        <f t="shared" si="51"/>
        <v>0</v>
      </c>
    </row>
    <row r="77" spans="4:43" x14ac:dyDescent="0.25">
      <c r="W77" s="88">
        <v>6</v>
      </c>
      <c r="X77" s="86">
        <f>41+33+20</f>
        <v>94</v>
      </c>
      <c r="Y77" s="5">
        <f>20+17+5</f>
        <v>42</v>
      </c>
      <c r="Z77" s="5">
        <f t="shared" si="45"/>
        <v>136</v>
      </c>
      <c r="AA77" s="27">
        <f t="shared" si="42"/>
        <v>0.44680851063829785</v>
      </c>
      <c r="AB77" s="74">
        <f>36+49+17</f>
        <v>102</v>
      </c>
      <c r="AC77" s="5">
        <f>13+6</f>
        <v>19</v>
      </c>
      <c r="AD77" s="5">
        <f t="shared" si="46"/>
        <v>121</v>
      </c>
      <c r="AE77" s="12">
        <f t="shared" si="47"/>
        <v>0.18627450980392157</v>
      </c>
      <c r="AF77" s="166">
        <f t="shared" ref="AF77:AF85" si="52">AE77/AA77</f>
        <v>0.41690009337068162</v>
      </c>
      <c r="AH77" s="88">
        <v>6</v>
      </c>
      <c r="AI77" s="86">
        <f>26+24+23</f>
        <v>73</v>
      </c>
      <c r="AJ77" s="5">
        <f>1+16+14</f>
        <v>31</v>
      </c>
      <c r="AK77" s="5">
        <f t="shared" si="49"/>
        <v>104</v>
      </c>
      <c r="AL77" s="27">
        <f t="shared" si="43"/>
        <v>0.42465753424657532</v>
      </c>
      <c r="AM77" s="74">
        <f>26+1</f>
        <v>27</v>
      </c>
      <c r="AN77" s="5">
        <v>1</v>
      </c>
      <c r="AO77" s="5">
        <f t="shared" si="50"/>
        <v>28</v>
      </c>
      <c r="AP77" s="12">
        <f t="shared" si="44"/>
        <v>3.7037037037037035E-2</v>
      </c>
      <c r="AQ77" s="166">
        <f t="shared" si="51"/>
        <v>8.7216248506571087E-2</v>
      </c>
    </row>
    <row r="78" spans="4:43" x14ac:dyDescent="0.25">
      <c r="W78" s="88">
        <v>7</v>
      </c>
      <c r="X78" s="86">
        <f>35+28+23</f>
        <v>86</v>
      </c>
      <c r="Y78" s="5">
        <f>20+16+18</f>
        <v>54</v>
      </c>
      <c r="Z78" s="5">
        <f t="shared" si="45"/>
        <v>140</v>
      </c>
      <c r="AA78" s="27">
        <f t="shared" si="42"/>
        <v>0.62790697674418605</v>
      </c>
      <c r="AB78" s="74">
        <f>31+51+30</f>
        <v>112</v>
      </c>
      <c r="AC78" s="5">
        <f>2+3+7</f>
        <v>12</v>
      </c>
      <c r="AD78" s="5">
        <f t="shared" si="46"/>
        <v>124</v>
      </c>
      <c r="AE78" s="12">
        <f t="shared" si="47"/>
        <v>0.10714285714285714</v>
      </c>
      <c r="AF78" s="166">
        <f t="shared" si="52"/>
        <v>0.17063492063492061</v>
      </c>
      <c r="AH78" s="88">
        <v>7</v>
      </c>
      <c r="AI78" s="86">
        <f>41+23+10</f>
        <v>74</v>
      </c>
      <c r="AJ78" s="5">
        <f>7+16+4</f>
        <v>27</v>
      </c>
      <c r="AK78" s="5">
        <f t="shared" si="49"/>
        <v>101</v>
      </c>
      <c r="AL78" s="27">
        <f t="shared" si="43"/>
        <v>0.36486486486486486</v>
      </c>
      <c r="AM78" s="74">
        <f>28+20</f>
        <v>48</v>
      </c>
      <c r="AN78" s="5">
        <v>1</v>
      </c>
      <c r="AO78" s="5">
        <f t="shared" si="50"/>
        <v>49</v>
      </c>
      <c r="AP78" s="12">
        <f t="shared" si="44"/>
        <v>2.0833333333333332E-2</v>
      </c>
      <c r="AQ78" s="166">
        <f t="shared" si="51"/>
        <v>5.7098765432098762E-2</v>
      </c>
    </row>
    <row r="79" spans="4:43" x14ac:dyDescent="0.25">
      <c r="W79" s="88">
        <v>8</v>
      </c>
      <c r="X79" s="86">
        <f>35+17+2</f>
        <v>54</v>
      </c>
      <c r="Y79" s="5">
        <f>23+8+2</f>
        <v>33</v>
      </c>
      <c r="Z79" s="5">
        <f t="shared" si="45"/>
        <v>87</v>
      </c>
      <c r="AA79" s="27">
        <f>Y79/X79</f>
        <v>0.61111111111111116</v>
      </c>
      <c r="AB79" s="74">
        <f>29+44+8</f>
        <v>81</v>
      </c>
      <c r="AC79" s="5">
        <f>1+14+1</f>
        <v>16</v>
      </c>
      <c r="AD79" s="5">
        <f t="shared" si="46"/>
        <v>97</v>
      </c>
      <c r="AE79" s="12">
        <f t="shared" si="47"/>
        <v>0.19753086419753085</v>
      </c>
      <c r="AF79" s="166">
        <f t="shared" si="52"/>
        <v>0.3232323232323232</v>
      </c>
      <c r="AH79" s="88">
        <v>8</v>
      </c>
      <c r="AI79" s="86">
        <f>34+18+20</f>
        <v>72</v>
      </c>
      <c r="AJ79" s="5">
        <f>7+13+16</f>
        <v>36</v>
      </c>
      <c r="AK79" s="5">
        <f t="shared" si="49"/>
        <v>108</v>
      </c>
      <c r="AL79" s="27">
        <f>AJ79/AI79</f>
        <v>0.5</v>
      </c>
      <c r="AM79" s="74">
        <f>30+68+16</f>
        <v>114</v>
      </c>
      <c r="AN79" s="5">
        <v>0</v>
      </c>
      <c r="AO79" s="5">
        <f t="shared" si="50"/>
        <v>114</v>
      </c>
      <c r="AP79" s="12">
        <f>AN79/AM79</f>
        <v>0</v>
      </c>
      <c r="AQ79" s="166">
        <f t="shared" si="51"/>
        <v>0</v>
      </c>
    </row>
    <row r="80" spans="4:43" x14ac:dyDescent="0.25">
      <c r="W80" s="88">
        <v>9</v>
      </c>
      <c r="X80" s="86">
        <f>30+32+29</f>
        <v>91</v>
      </c>
      <c r="Y80" s="5">
        <f>17+17+8</f>
        <v>42</v>
      </c>
      <c r="Z80" s="5">
        <f t="shared" si="45"/>
        <v>133</v>
      </c>
      <c r="AA80" s="27">
        <f>Y80/X80</f>
        <v>0.46153846153846156</v>
      </c>
      <c r="AB80" s="74">
        <f>44+50+21</f>
        <v>115</v>
      </c>
      <c r="AC80" s="5">
        <f>1+13+2</f>
        <v>16</v>
      </c>
      <c r="AD80" s="5">
        <f t="shared" si="46"/>
        <v>131</v>
      </c>
      <c r="AE80" s="12">
        <f t="shared" si="47"/>
        <v>0.1391304347826087</v>
      </c>
      <c r="AF80" s="166">
        <f t="shared" si="52"/>
        <v>0.3014492753623188</v>
      </c>
      <c r="AH80" s="88">
        <v>9</v>
      </c>
      <c r="AI80" s="86">
        <f>39+27+18</f>
        <v>84</v>
      </c>
      <c r="AJ80" s="5">
        <f>3+10+9</f>
        <v>22</v>
      </c>
      <c r="AK80" s="5">
        <f t="shared" si="49"/>
        <v>106</v>
      </c>
      <c r="AL80" s="27">
        <f>AJ80/AI80</f>
        <v>0.26190476190476192</v>
      </c>
      <c r="AM80" s="74">
        <f>29</f>
        <v>29</v>
      </c>
      <c r="AN80" s="5">
        <v>0</v>
      </c>
      <c r="AO80" s="5">
        <f t="shared" si="50"/>
        <v>29</v>
      </c>
      <c r="AP80" s="12">
        <f>AN80/AM80</f>
        <v>0</v>
      </c>
      <c r="AQ80" s="166">
        <f t="shared" si="51"/>
        <v>0</v>
      </c>
    </row>
    <row r="81" spans="23:43" x14ac:dyDescent="0.25">
      <c r="W81" s="88">
        <v>10</v>
      </c>
      <c r="X81" s="86">
        <f>27+40+32</f>
        <v>99</v>
      </c>
      <c r="Y81" s="5">
        <f>26+22+18</f>
        <v>66</v>
      </c>
      <c r="Z81" s="5">
        <f t="shared" si="45"/>
        <v>165</v>
      </c>
      <c r="AA81" s="27">
        <f>Y81/X81</f>
        <v>0.66666666666666663</v>
      </c>
      <c r="AB81" s="74">
        <f>36+30+4</f>
        <v>70</v>
      </c>
      <c r="AC81" s="5">
        <f>5+6+1</f>
        <v>12</v>
      </c>
      <c r="AD81" s="5">
        <f t="shared" si="46"/>
        <v>82</v>
      </c>
      <c r="AE81" s="12">
        <f t="shared" si="47"/>
        <v>0.17142857142857143</v>
      </c>
      <c r="AF81" s="166">
        <f t="shared" si="52"/>
        <v>0.25714285714285717</v>
      </c>
      <c r="AH81" s="88">
        <v>10</v>
      </c>
      <c r="AI81" s="86">
        <f>46+25+28</f>
        <v>99</v>
      </c>
      <c r="AJ81" s="5">
        <f>2+2+8</f>
        <v>12</v>
      </c>
      <c r="AK81" s="5">
        <f t="shared" si="49"/>
        <v>111</v>
      </c>
      <c r="AL81" s="27">
        <f t="shared" si="43"/>
        <v>0.12121212121212122</v>
      </c>
      <c r="AM81" s="74">
        <f>49+37+2</f>
        <v>88</v>
      </c>
      <c r="AN81" s="5">
        <v>0</v>
      </c>
      <c r="AO81" s="5">
        <f t="shared" si="50"/>
        <v>88</v>
      </c>
      <c r="AP81" s="12">
        <f t="shared" si="44"/>
        <v>0</v>
      </c>
      <c r="AQ81" s="166">
        <f t="shared" si="51"/>
        <v>0</v>
      </c>
    </row>
    <row r="82" spans="23:43" x14ac:dyDescent="0.25">
      <c r="W82" s="88">
        <v>1</v>
      </c>
      <c r="X82" s="86">
        <v>108</v>
      </c>
      <c r="Y82" s="5">
        <v>41</v>
      </c>
      <c r="Z82" s="5">
        <f t="shared" si="45"/>
        <v>149</v>
      </c>
      <c r="AA82" s="27">
        <f t="shared" ref="AA82:AA87" si="53">Y82/X82</f>
        <v>0.37962962962962965</v>
      </c>
      <c r="AB82" s="74">
        <v>19</v>
      </c>
      <c r="AC82" s="5">
        <v>9</v>
      </c>
      <c r="AD82" s="5">
        <f t="shared" si="46"/>
        <v>28</v>
      </c>
      <c r="AE82" s="12">
        <f>AC82/AB82</f>
        <v>0.47368421052631576</v>
      </c>
      <c r="AF82" s="166">
        <f t="shared" si="52"/>
        <v>1.2477535301668805</v>
      </c>
      <c r="AH82" s="88">
        <v>1</v>
      </c>
      <c r="AI82" s="86">
        <v>121</v>
      </c>
      <c r="AJ82" s="5">
        <v>11</v>
      </c>
      <c r="AK82" s="5">
        <f t="shared" si="49"/>
        <v>132</v>
      </c>
      <c r="AL82" s="27">
        <f t="shared" si="43"/>
        <v>9.0909090909090912E-2</v>
      </c>
      <c r="AM82" s="74">
        <v>81</v>
      </c>
      <c r="AN82" s="5">
        <v>9</v>
      </c>
      <c r="AO82" s="5">
        <f t="shared" si="50"/>
        <v>90</v>
      </c>
      <c r="AP82" s="12">
        <f t="shared" ref="AP82:AP90" si="54">AN82/AM82</f>
        <v>0.1111111111111111</v>
      </c>
      <c r="AQ82" s="166">
        <f t="shared" si="51"/>
        <v>1.2222222222222221</v>
      </c>
    </row>
    <row r="83" spans="23:43" x14ac:dyDescent="0.25">
      <c r="W83" s="83">
        <v>3</v>
      </c>
      <c r="X83" s="86">
        <v>100</v>
      </c>
      <c r="Y83" s="5">
        <v>59</v>
      </c>
      <c r="Z83" s="5">
        <f t="shared" si="45"/>
        <v>159</v>
      </c>
      <c r="AA83" s="27">
        <f t="shared" si="53"/>
        <v>0.59</v>
      </c>
      <c r="AB83" s="74">
        <v>100</v>
      </c>
      <c r="AC83" s="5">
        <v>39</v>
      </c>
      <c r="AD83" s="5">
        <f t="shared" si="46"/>
        <v>139</v>
      </c>
      <c r="AE83" s="12">
        <f t="shared" ref="AE83:AE90" si="55">AC83/AB83</f>
        <v>0.39</v>
      </c>
      <c r="AF83" s="166">
        <f t="shared" si="52"/>
        <v>0.66101694915254239</v>
      </c>
      <c r="AH83" s="88">
        <v>2</v>
      </c>
      <c r="AI83" s="86">
        <v>101</v>
      </c>
      <c r="AJ83" s="5">
        <v>5</v>
      </c>
      <c r="AK83" s="5">
        <f t="shared" si="49"/>
        <v>106</v>
      </c>
      <c r="AL83" s="27">
        <f t="shared" si="43"/>
        <v>4.9504950495049507E-2</v>
      </c>
      <c r="AM83" s="74">
        <v>92</v>
      </c>
      <c r="AN83" s="5">
        <v>0</v>
      </c>
      <c r="AO83" s="5">
        <f t="shared" si="50"/>
        <v>92</v>
      </c>
      <c r="AP83" s="12">
        <f t="shared" si="54"/>
        <v>0</v>
      </c>
      <c r="AQ83" s="166">
        <f t="shared" si="51"/>
        <v>0</v>
      </c>
    </row>
    <row r="84" spans="23:43" x14ac:dyDescent="0.25">
      <c r="W84" s="88">
        <v>4</v>
      </c>
      <c r="X84" s="86">
        <v>100</v>
      </c>
      <c r="Y84" s="5">
        <v>48</v>
      </c>
      <c r="Z84" s="5">
        <f t="shared" si="45"/>
        <v>148</v>
      </c>
      <c r="AA84" s="27">
        <f t="shared" si="53"/>
        <v>0.48</v>
      </c>
      <c r="AB84" s="74">
        <v>67</v>
      </c>
      <c r="AC84" s="5">
        <v>31</v>
      </c>
      <c r="AD84" s="5">
        <f t="shared" si="46"/>
        <v>98</v>
      </c>
      <c r="AE84" s="12">
        <f t="shared" si="55"/>
        <v>0.46268656716417911</v>
      </c>
      <c r="AF84" s="166">
        <f t="shared" si="52"/>
        <v>0.96393034825870649</v>
      </c>
      <c r="AH84" s="83">
        <v>3</v>
      </c>
      <c r="AI84" s="86">
        <v>55</v>
      </c>
      <c r="AJ84" s="5">
        <v>3</v>
      </c>
      <c r="AK84" s="5">
        <f t="shared" si="49"/>
        <v>58</v>
      </c>
      <c r="AL84" s="27">
        <f t="shared" si="43"/>
        <v>5.4545454545454543E-2</v>
      </c>
      <c r="AM84" s="74">
        <v>81</v>
      </c>
      <c r="AN84" s="5">
        <v>0</v>
      </c>
      <c r="AO84" s="5">
        <f t="shared" si="50"/>
        <v>81</v>
      </c>
      <c r="AP84" s="12">
        <f t="shared" si="54"/>
        <v>0</v>
      </c>
      <c r="AQ84" s="166">
        <f t="shared" si="51"/>
        <v>0</v>
      </c>
    </row>
    <row r="85" spans="23:43" x14ac:dyDescent="0.25">
      <c r="W85" s="88">
        <v>5</v>
      </c>
      <c r="X85" s="86">
        <v>104</v>
      </c>
      <c r="Y85" s="5">
        <v>59</v>
      </c>
      <c r="Z85" s="5">
        <f t="shared" si="45"/>
        <v>163</v>
      </c>
      <c r="AA85" s="27">
        <f t="shared" si="53"/>
        <v>0.56730769230769229</v>
      </c>
      <c r="AB85" s="74">
        <v>84</v>
      </c>
      <c r="AC85" s="5">
        <v>39</v>
      </c>
      <c r="AD85" s="5">
        <f t="shared" si="46"/>
        <v>123</v>
      </c>
      <c r="AE85" s="12">
        <f t="shared" si="55"/>
        <v>0.4642857142857143</v>
      </c>
      <c r="AF85" s="166">
        <f t="shared" si="52"/>
        <v>0.81840193704600495</v>
      </c>
      <c r="AH85" s="88">
        <v>4</v>
      </c>
      <c r="AI85" s="86">
        <v>75</v>
      </c>
      <c r="AJ85" s="5">
        <v>2</v>
      </c>
      <c r="AK85" s="5">
        <f t="shared" si="49"/>
        <v>77</v>
      </c>
      <c r="AL85" s="27">
        <f t="shared" si="43"/>
        <v>2.6666666666666668E-2</v>
      </c>
      <c r="AM85" s="74">
        <v>74</v>
      </c>
      <c r="AN85" s="5">
        <v>0</v>
      </c>
      <c r="AO85" s="5">
        <f t="shared" si="50"/>
        <v>74</v>
      </c>
      <c r="AP85" s="12">
        <f t="shared" si="54"/>
        <v>0</v>
      </c>
      <c r="AQ85" s="166">
        <f t="shared" si="51"/>
        <v>0</v>
      </c>
    </row>
    <row r="86" spans="23:43" x14ac:dyDescent="0.25">
      <c r="W86" s="88">
        <v>6</v>
      </c>
      <c r="X86" s="86">
        <v>89</v>
      </c>
      <c r="Y86" s="5">
        <f>20+17+5</f>
        <v>42</v>
      </c>
      <c r="Z86" s="5">
        <f t="shared" si="45"/>
        <v>131</v>
      </c>
      <c r="AA86" s="27">
        <f t="shared" si="53"/>
        <v>0.47191011235955055</v>
      </c>
      <c r="AB86" s="74">
        <v>32</v>
      </c>
      <c r="AC86" s="5">
        <v>14</v>
      </c>
      <c r="AD86" s="5">
        <f t="shared" si="46"/>
        <v>46</v>
      </c>
      <c r="AE86" s="12">
        <f t="shared" si="55"/>
        <v>0.4375</v>
      </c>
      <c r="AF86" s="166">
        <f t="shared" si="48"/>
        <v>0.92708333333333337</v>
      </c>
      <c r="AH86" s="88">
        <v>5</v>
      </c>
      <c r="AI86" s="86">
        <v>75</v>
      </c>
      <c r="AJ86" s="5">
        <v>3</v>
      </c>
      <c r="AK86" s="5">
        <f t="shared" si="49"/>
        <v>78</v>
      </c>
      <c r="AL86" s="27">
        <f t="shared" si="43"/>
        <v>0.04</v>
      </c>
      <c r="AM86" s="74">
        <v>86</v>
      </c>
      <c r="AN86" s="5">
        <v>5</v>
      </c>
      <c r="AO86" s="5">
        <f t="shared" si="50"/>
        <v>91</v>
      </c>
      <c r="AP86" s="12">
        <f t="shared" si="54"/>
        <v>5.8139534883720929E-2</v>
      </c>
      <c r="AQ86" s="166">
        <f t="shared" si="51"/>
        <v>1.4534883720930232</v>
      </c>
    </row>
    <row r="87" spans="23:43" x14ac:dyDescent="0.25">
      <c r="W87" s="88">
        <v>7</v>
      </c>
      <c r="X87" s="86">
        <v>102</v>
      </c>
      <c r="Y87" s="5">
        <v>50</v>
      </c>
      <c r="Z87" s="5">
        <f t="shared" si="45"/>
        <v>152</v>
      </c>
      <c r="AA87" s="27">
        <f t="shared" si="53"/>
        <v>0.49019607843137253</v>
      </c>
      <c r="AB87" s="74">
        <v>45</v>
      </c>
      <c r="AC87" s="5">
        <v>23</v>
      </c>
      <c r="AD87" s="5">
        <f t="shared" si="46"/>
        <v>68</v>
      </c>
      <c r="AE87" s="12">
        <f t="shared" si="55"/>
        <v>0.51111111111111107</v>
      </c>
      <c r="AF87" s="166">
        <f t="shared" si="48"/>
        <v>1.0426666666666666</v>
      </c>
      <c r="AH87" s="88">
        <v>6</v>
      </c>
      <c r="AI87" s="86">
        <v>86</v>
      </c>
      <c r="AJ87" s="5">
        <v>4</v>
      </c>
      <c r="AK87" s="5">
        <f t="shared" si="49"/>
        <v>90</v>
      </c>
      <c r="AL87" s="27">
        <f t="shared" si="43"/>
        <v>4.6511627906976744E-2</v>
      </c>
      <c r="AM87" s="74">
        <v>84</v>
      </c>
      <c r="AN87" s="5">
        <v>6</v>
      </c>
      <c r="AO87" s="5">
        <f t="shared" si="50"/>
        <v>90</v>
      </c>
      <c r="AP87" s="12">
        <f t="shared" si="54"/>
        <v>7.1428571428571425E-2</v>
      </c>
      <c r="AQ87" s="170">
        <f t="shared" si="51"/>
        <v>1.5357142857142856</v>
      </c>
    </row>
    <row r="88" spans="23:43" x14ac:dyDescent="0.25">
      <c r="W88" s="88">
        <v>8</v>
      </c>
      <c r="X88" s="86">
        <v>120</v>
      </c>
      <c r="Y88" s="5">
        <v>63</v>
      </c>
      <c r="Z88" s="5">
        <f t="shared" si="45"/>
        <v>183</v>
      </c>
      <c r="AA88" s="27">
        <f>Y88/X88</f>
        <v>0.52500000000000002</v>
      </c>
      <c r="AB88" s="74">
        <v>59</v>
      </c>
      <c r="AC88" s="5">
        <v>22</v>
      </c>
      <c r="AD88" s="5">
        <f t="shared" si="46"/>
        <v>81</v>
      </c>
      <c r="AE88" s="12">
        <f t="shared" si="55"/>
        <v>0.3728813559322034</v>
      </c>
      <c r="AF88" s="166">
        <f t="shared" si="48"/>
        <v>0.71025020177562548</v>
      </c>
      <c r="AH88" s="88">
        <v>7</v>
      </c>
      <c r="AI88" s="86">
        <v>76</v>
      </c>
      <c r="AJ88" s="5">
        <v>29</v>
      </c>
      <c r="AK88" s="5">
        <f t="shared" si="49"/>
        <v>105</v>
      </c>
      <c r="AL88" s="27">
        <f t="shared" si="43"/>
        <v>0.38157894736842107</v>
      </c>
      <c r="AM88" s="74">
        <v>68</v>
      </c>
      <c r="AN88" s="5">
        <v>18</v>
      </c>
      <c r="AO88" s="5">
        <f t="shared" si="50"/>
        <v>86</v>
      </c>
      <c r="AP88" s="12">
        <f t="shared" si="54"/>
        <v>0.26470588235294118</v>
      </c>
      <c r="AQ88" s="166">
        <f t="shared" si="51"/>
        <v>0.69371196754563891</v>
      </c>
    </row>
    <row r="89" spans="23:43" x14ac:dyDescent="0.25">
      <c r="W89" s="88">
        <v>9</v>
      </c>
      <c r="X89" s="86">
        <v>93</v>
      </c>
      <c r="Y89" s="5">
        <v>46</v>
      </c>
      <c r="Z89" s="5">
        <f t="shared" si="45"/>
        <v>139</v>
      </c>
      <c r="AA89" s="27">
        <f>Y89/X89</f>
        <v>0.4946236559139785</v>
      </c>
      <c r="AB89" s="74">
        <v>27</v>
      </c>
      <c r="AC89" s="5">
        <v>7</v>
      </c>
      <c r="AD89" s="5">
        <f t="shared" si="46"/>
        <v>34</v>
      </c>
      <c r="AE89" s="12">
        <f t="shared" si="55"/>
        <v>0.25925925925925924</v>
      </c>
      <c r="AF89" s="166">
        <f t="shared" si="48"/>
        <v>0.52415458937198067</v>
      </c>
      <c r="AH89" s="88">
        <v>8</v>
      </c>
      <c r="AI89" s="86">
        <v>93</v>
      </c>
      <c r="AJ89" s="5">
        <v>2</v>
      </c>
      <c r="AK89" s="5">
        <f t="shared" si="49"/>
        <v>95</v>
      </c>
      <c r="AL89" s="27">
        <f>AJ89/AI89</f>
        <v>2.1505376344086023E-2</v>
      </c>
      <c r="AM89" s="74">
        <v>44</v>
      </c>
      <c r="AN89" s="5">
        <v>0</v>
      </c>
      <c r="AO89" s="5">
        <f t="shared" si="50"/>
        <v>44</v>
      </c>
      <c r="AP89" s="12">
        <f t="shared" si="54"/>
        <v>0</v>
      </c>
      <c r="AQ89" s="166">
        <f t="shared" si="51"/>
        <v>0</v>
      </c>
    </row>
    <row r="90" spans="23:43" ht="15.75" thickBot="1" x14ac:dyDescent="0.3">
      <c r="W90" s="88">
        <v>10</v>
      </c>
      <c r="X90" s="86">
        <v>96</v>
      </c>
      <c r="Y90" s="5">
        <v>38</v>
      </c>
      <c r="Z90" s="5">
        <f t="shared" si="45"/>
        <v>134</v>
      </c>
      <c r="AA90" s="27">
        <f>Y90/X90</f>
        <v>0.39583333333333331</v>
      </c>
      <c r="AB90" s="74">
        <v>78</v>
      </c>
      <c r="AC90" s="5">
        <v>40</v>
      </c>
      <c r="AD90" s="5">
        <f t="shared" si="46"/>
        <v>118</v>
      </c>
      <c r="AE90" s="12">
        <f t="shared" si="55"/>
        <v>0.51282051282051277</v>
      </c>
      <c r="AF90" s="166">
        <f t="shared" si="48"/>
        <v>1.2955465587044535</v>
      </c>
      <c r="AH90" s="95">
        <v>10</v>
      </c>
      <c r="AI90" s="87">
        <v>83</v>
      </c>
      <c r="AJ90" s="13">
        <v>5</v>
      </c>
      <c r="AK90" s="5">
        <f t="shared" si="49"/>
        <v>88</v>
      </c>
      <c r="AL90" s="34">
        <f>AJ90/AI90</f>
        <v>6.0240963855421686E-2</v>
      </c>
      <c r="AM90" s="75">
        <v>89</v>
      </c>
      <c r="AN90" s="13">
        <v>1</v>
      </c>
      <c r="AO90" s="5">
        <f t="shared" si="50"/>
        <v>90</v>
      </c>
      <c r="AP90" s="15">
        <f t="shared" si="54"/>
        <v>1.1235955056179775E-2</v>
      </c>
      <c r="AQ90" s="177">
        <f t="shared" si="51"/>
        <v>0.18651685393258427</v>
      </c>
    </row>
    <row r="91" spans="23:43" ht="15.75" thickBot="1" x14ac:dyDescent="0.3">
      <c r="W91" s="88">
        <v>1</v>
      </c>
      <c r="X91" s="86">
        <v>93</v>
      </c>
      <c r="Y91" s="5">
        <v>47</v>
      </c>
      <c r="Z91" s="5">
        <f t="shared" si="45"/>
        <v>140</v>
      </c>
      <c r="AA91" s="27">
        <f t="shared" ref="AA91:AA94" si="56">Y91/X91</f>
        <v>0.5053763440860215</v>
      </c>
      <c r="AB91" s="74">
        <v>104</v>
      </c>
      <c r="AC91" s="5">
        <v>41</v>
      </c>
      <c r="AD91" s="5">
        <f t="shared" si="46"/>
        <v>145</v>
      </c>
      <c r="AE91" s="12">
        <f>AC91/AB91</f>
        <v>0.39423076923076922</v>
      </c>
      <c r="AF91" s="166">
        <f t="shared" si="48"/>
        <v>0.78007364975450078</v>
      </c>
      <c r="AH91" s="22">
        <f>COUNT(AH72:AH90)</f>
        <v>19</v>
      </c>
      <c r="AI91" s="25">
        <f>SUM(AI72:AI90)</f>
        <v>1562</v>
      </c>
      <c r="AJ91" s="25">
        <f>SUM(AJ72:AJ90)</f>
        <v>292</v>
      </c>
      <c r="AK91" s="25">
        <f>SUM(AI91:AJ91)</f>
        <v>1854</v>
      </c>
      <c r="AL91" s="24">
        <f>AVERAGE(AL72:AL90)</f>
        <v>0.19704817443341205</v>
      </c>
      <c r="AM91" s="25">
        <f>SUM(AM72:AM90)</f>
        <v>1336</v>
      </c>
      <c r="AN91" s="25">
        <f>SUM(AN72:AN90)</f>
        <v>43</v>
      </c>
      <c r="AO91" s="25">
        <f>SUM(AM91:AN91)</f>
        <v>1379</v>
      </c>
      <c r="AP91" s="24">
        <f>AVERAGE(AP72:AP90)</f>
        <v>3.16133028101791E-2</v>
      </c>
      <c r="AQ91" s="24">
        <f>AVERAGE(AQ72:AQ90)</f>
        <v>0.28010618238664042</v>
      </c>
    </row>
    <row r="92" spans="23:43" ht="15.75" thickBot="1" x14ac:dyDescent="0.3">
      <c r="W92" s="88">
        <v>5</v>
      </c>
      <c r="X92" s="86">
        <v>104</v>
      </c>
      <c r="Y92" s="5">
        <v>42</v>
      </c>
      <c r="Z92" s="5">
        <f t="shared" si="45"/>
        <v>146</v>
      </c>
      <c r="AA92" s="27">
        <f t="shared" si="56"/>
        <v>0.40384615384615385</v>
      </c>
      <c r="AB92" s="74">
        <v>25</v>
      </c>
      <c r="AC92" s="5">
        <v>11</v>
      </c>
      <c r="AD92" s="5">
        <f t="shared" si="46"/>
        <v>36</v>
      </c>
      <c r="AE92" s="12">
        <f t="shared" ref="AE92:AE97" si="57">AC92/AB92</f>
        <v>0.44</v>
      </c>
      <c r="AF92" s="166">
        <f t="shared" si="48"/>
        <v>1.0895238095238096</v>
      </c>
      <c r="AK92" s="22">
        <f>AVERAGE(AK72:AK90)</f>
        <v>97.578947368421055</v>
      </c>
      <c r="AO92" s="22">
        <f>AVERAGE(AO72:AO90)</f>
        <v>72.578947368421055</v>
      </c>
      <c r="AQ92" s="24">
        <f>STDEV(AQ72:AQ90)</f>
        <v>0.52729737058855886</v>
      </c>
    </row>
    <row r="93" spans="23:43" ht="15.75" thickBot="1" x14ac:dyDescent="0.3">
      <c r="W93" s="88">
        <v>6</v>
      </c>
      <c r="X93" s="86">
        <v>94</v>
      </c>
      <c r="Y93" s="5">
        <v>52</v>
      </c>
      <c r="Z93" s="5">
        <f t="shared" si="45"/>
        <v>146</v>
      </c>
      <c r="AA93" s="27">
        <f t="shared" si="56"/>
        <v>0.55319148936170215</v>
      </c>
      <c r="AB93" s="74">
        <v>74</v>
      </c>
      <c r="AC93" s="5">
        <v>36</v>
      </c>
      <c r="AD93" s="5">
        <f t="shared" si="46"/>
        <v>110</v>
      </c>
      <c r="AE93" s="12">
        <f t="shared" si="57"/>
        <v>0.48648648648648651</v>
      </c>
      <c r="AF93" s="166">
        <f t="shared" si="48"/>
        <v>0.87941787941787941</v>
      </c>
      <c r="AK93" s="22">
        <f>STDEV(AK72:AK90)</f>
        <v>16.560715864403928</v>
      </c>
      <c r="AO93" s="22">
        <f>STDEV(AO72:AO90)</f>
        <v>25.471805305024542</v>
      </c>
      <c r="AQ93" s="24">
        <f>AQ92/SQRT(AH91)</f>
        <v>0.12097031324159178</v>
      </c>
    </row>
    <row r="94" spans="23:43" x14ac:dyDescent="0.25">
      <c r="W94" s="88">
        <v>7</v>
      </c>
      <c r="X94" s="86">
        <v>102</v>
      </c>
      <c r="Y94" s="5">
        <v>53</v>
      </c>
      <c r="Z94" s="5">
        <f t="shared" si="45"/>
        <v>155</v>
      </c>
      <c r="AA94" s="27">
        <f t="shared" si="56"/>
        <v>0.51960784313725494</v>
      </c>
      <c r="AB94" s="74">
        <v>94</v>
      </c>
      <c r="AC94" s="5">
        <v>42</v>
      </c>
      <c r="AD94" s="5">
        <f t="shared" si="46"/>
        <v>136</v>
      </c>
      <c r="AE94" s="12">
        <f t="shared" si="57"/>
        <v>0.44680851063829785</v>
      </c>
      <c r="AF94" s="166">
        <f t="shared" si="48"/>
        <v>0.85989562424729016</v>
      </c>
    </row>
    <row r="95" spans="23:43" x14ac:dyDescent="0.25">
      <c r="W95" s="88">
        <v>8</v>
      </c>
      <c r="X95" s="86">
        <v>104</v>
      </c>
      <c r="Y95" s="5">
        <v>52</v>
      </c>
      <c r="Z95" s="5">
        <f t="shared" si="45"/>
        <v>156</v>
      </c>
      <c r="AA95" s="27">
        <f>Y95/X95</f>
        <v>0.5</v>
      </c>
      <c r="AB95" s="74">
        <v>68</v>
      </c>
      <c r="AC95" s="5">
        <v>21</v>
      </c>
      <c r="AD95" s="5">
        <f t="shared" si="46"/>
        <v>89</v>
      </c>
      <c r="AE95" s="12">
        <f t="shared" si="57"/>
        <v>0.30882352941176472</v>
      </c>
      <c r="AF95" s="166">
        <f t="shared" si="48"/>
        <v>0.61764705882352944</v>
      </c>
    </row>
    <row r="96" spans="23:43" x14ac:dyDescent="0.25">
      <c r="W96" s="88">
        <v>9</v>
      </c>
      <c r="X96" s="86">
        <v>92</v>
      </c>
      <c r="Y96" s="5">
        <v>35</v>
      </c>
      <c r="Z96" s="5">
        <f t="shared" si="45"/>
        <v>127</v>
      </c>
      <c r="AA96" s="27">
        <f>Y96/X96</f>
        <v>0.38043478260869568</v>
      </c>
      <c r="AB96" s="74">
        <v>70</v>
      </c>
      <c r="AC96" s="5">
        <v>37</v>
      </c>
      <c r="AD96" s="5">
        <f t="shared" si="46"/>
        <v>107</v>
      </c>
      <c r="AE96" s="12">
        <f t="shared" si="57"/>
        <v>0.52857142857142858</v>
      </c>
      <c r="AF96" s="166">
        <f t="shared" si="48"/>
        <v>1.3893877551020408</v>
      </c>
    </row>
    <row r="97" spans="23:32" ht="15.75" thickBot="1" x14ac:dyDescent="0.3">
      <c r="W97" s="114">
        <v>10</v>
      </c>
      <c r="X97" s="104">
        <v>125</v>
      </c>
      <c r="Y97" s="68">
        <v>63</v>
      </c>
      <c r="Z97" s="68">
        <f t="shared" si="45"/>
        <v>188</v>
      </c>
      <c r="AA97" s="107">
        <f>Y97/X97</f>
        <v>0.504</v>
      </c>
      <c r="AB97" s="115">
        <v>65</v>
      </c>
      <c r="AC97" s="68">
        <v>24</v>
      </c>
      <c r="AD97" s="68">
        <f t="shared" si="46"/>
        <v>89</v>
      </c>
      <c r="AE97" s="116">
        <f t="shared" si="57"/>
        <v>0.36923076923076925</v>
      </c>
      <c r="AF97" s="177">
        <f t="shared" si="48"/>
        <v>0.73260073260073266</v>
      </c>
    </row>
    <row r="98" spans="23:32" ht="15.75" thickBot="1" x14ac:dyDescent="0.3">
      <c r="W98" s="22">
        <f>COUNT(W72:W97)</f>
        <v>26</v>
      </c>
      <c r="X98" s="25">
        <f>SUM(X72:X97)</f>
        <v>2487</v>
      </c>
      <c r="Y98" s="25">
        <f>SUM(Y72:Y97)</f>
        <v>1278</v>
      </c>
      <c r="Z98" s="25">
        <f>SUM(X98:Y98)</f>
        <v>3765</v>
      </c>
      <c r="AA98" s="97">
        <f>AVERAGE(AA72:AA97)</f>
        <v>0.5167730319332301</v>
      </c>
      <c r="AB98" s="25">
        <f>SUM(AB72:AB97)</f>
        <v>1980</v>
      </c>
      <c r="AC98" s="25">
        <f>SUM(AC72:AC97)</f>
        <v>611</v>
      </c>
      <c r="AD98" s="25">
        <f>SUM(AB98:AC98)</f>
        <v>2591</v>
      </c>
      <c r="AE98" s="24">
        <f>AVERAGE(AE72:AE97)</f>
        <v>0.3338771843283086</v>
      </c>
      <c r="AF98" s="24">
        <f>AVERAGE(AF72:AF97)</f>
        <v>0.68533458788355128</v>
      </c>
    </row>
    <row r="99" spans="23:32" ht="15.75" thickBot="1" x14ac:dyDescent="0.3">
      <c r="Z99" s="22">
        <f>AVERAGE(Z72:Z97)</f>
        <v>144.80769230769232</v>
      </c>
      <c r="AD99" s="22">
        <f>AVERAGE(AD72:AD97)</f>
        <v>99.65384615384616</v>
      </c>
      <c r="AF99" s="24">
        <f>STDEV(AF72:AF97)</f>
        <v>0.35148420978116779</v>
      </c>
    </row>
    <row r="100" spans="23:32" ht="15.75" thickBot="1" x14ac:dyDescent="0.3">
      <c r="Z100" s="22">
        <f>STDEV(Z72:Z97)</f>
        <v>23.6981336493307</v>
      </c>
      <c r="AD100" s="22">
        <f>STDEV(AD72:AD97)</f>
        <v>33.665343969954989</v>
      </c>
      <c r="AF100" s="24">
        <f>AF99/SQRT(W98)</f>
        <v>6.8931724784381337E-2</v>
      </c>
    </row>
  </sheetData>
  <sortState ref="L42:U61">
    <sortCondition descending="1" ref="U42:U61"/>
  </sortState>
  <mergeCells count="36">
    <mergeCell ref="AQ70:AQ71"/>
    <mergeCell ref="A1:J1"/>
    <mergeCell ref="L1:U1"/>
    <mergeCell ref="W1:AF1"/>
    <mergeCell ref="AH1:AQ1"/>
    <mergeCell ref="A2:A3"/>
    <mergeCell ref="J2:J3"/>
    <mergeCell ref="L2:L3"/>
    <mergeCell ref="U2:U3"/>
    <mergeCell ref="W2:W3"/>
    <mergeCell ref="AF2:AF3"/>
    <mergeCell ref="AH2:AH3"/>
    <mergeCell ref="AQ2:AQ3"/>
    <mergeCell ref="AM2:AP2"/>
    <mergeCell ref="A43:A44"/>
    <mergeCell ref="J43:J44"/>
    <mergeCell ref="AM70:AP70"/>
    <mergeCell ref="F43:I43"/>
    <mergeCell ref="AI2:AL2"/>
    <mergeCell ref="AB2:AE2"/>
    <mergeCell ref="X2:AA2"/>
    <mergeCell ref="Q2:T2"/>
    <mergeCell ref="M2:P2"/>
    <mergeCell ref="AF70:AF71"/>
    <mergeCell ref="AH70:AH71"/>
    <mergeCell ref="L43:L44"/>
    <mergeCell ref="U43:U44"/>
    <mergeCell ref="W70:W71"/>
    <mergeCell ref="M43:P43"/>
    <mergeCell ref="Q43:T43"/>
    <mergeCell ref="B2:E2"/>
    <mergeCell ref="F2:I2"/>
    <mergeCell ref="X70:AA70"/>
    <mergeCell ref="AB70:AE70"/>
    <mergeCell ref="AI70:AL70"/>
    <mergeCell ref="B43:E4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workbookViewId="0">
      <pane ySplit="1" topLeftCell="A2" activePane="bottomLeft" state="frozen"/>
      <selection activeCell="E1" sqref="E1"/>
      <selection pane="bottomLeft" sqref="A1:J1"/>
    </sheetView>
  </sheetViews>
  <sheetFormatPr defaultRowHeight="15" x14ac:dyDescent="0.25"/>
  <cols>
    <col min="1" max="1" width="6.5703125" customWidth="1"/>
    <col min="2" max="2" width="6.85546875" customWidth="1"/>
    <col min="3" max="4" width="7.28515625" customWidth="1"/>
    <col min="5" max="5" width="8.7109375" customWidth="1"/>
    <col min="6" max="6" width="7.28515625" customWidth="1"/>
    <col min="7" max="8" width="7.5703125" customWidth="1"/>
    <col min="9" max="9" width="8.42578125" customWidth="1"/>
    <col min="10" max="10" width="7.7109375" customWidth="1"/>
    <col min="11" max="11" width="5.5703125" customWidth="1"/>
    <col min="12" max="12" width="6.5703125" customWidth="1"/>
    <col min="13" max="13" width="6.85546875" customWidth="1"/>
    <col min="14" max="15" width="7.28515625" customWidth="1"/>
    <col min="16" max="16" width="8.7109375" customWidth="1"/>
    <col min="17" max="17" width="7.28515625" customWidth="1"/>
    <col min="18" max="19" width="7.5703125" customWidth="1"/>
    <col min="20" max="20" width="8.42578125" customWidth="1"/>
    <col min="21" max="21" width="7.7109375" customWidth="1"/>
    <col min="22" max="22" width="5.5703125" customWidth="1"/>
    <col min="23" max="23" width="6.5703125" customWidth="1"/>
    <col min="24" max="24" width="6.85546875" customWidth="1"/>
    <col min="25" max="26" width="7.28515625" customWidth="1"/>
    <col min="27" max="27" width="8.7109375" customWidth="1"/>
    <col min="28" max="28" width="7.28515625" customWidth="1"/>
    <col min="29" max="30" width="7.5703125" customWidth="1"/>
    <col min="31" max="31" width="8.42578125" customWidth="1"/>
    <col min="32" max="32" width="7.7109375" customWidth="1"/>
    <col min="33" max="33" width="5.7109375" customWidth="1"/>
    <col min="34" max="34" width="6.5703125" customWidth="1"/>
    <col min="35" max="35" width="6.85546875" customWidth="1"/>
    <col min="36" max="37" width="7.28515625" customWidth="1"/>
    <col min="38" max="38" width="8.7109375" customWidth="1"/>
    <col min="39" max="39" width="7.28515625" customWidth="1"/>
    <col min="40" max="41" width="7.5703125" customWidth="1"/>
    <col min="42" max="42" width="8.42578125" customWidth="1"/>
    <col min="43" max="43" width="7.7109375" customWidth="1"/>
  </cols>
  <sheetData>
    <row r="1" spans="1:43" ht="44.25" customHeight="1" thickBot="1" x14ac:dyDescent="0.3">
      <c r="A1" s="201" t="s">
        <v>37</v>
      </c>
      <c r="B1" s="202"/>
      <c r="C1" s="202"/>
      <c r="D1" s="202"/>
      <c r="E1" s="202"/>
      <c r="F1" s="202"/>
      <c r="G1" s="202"/>
      <c r="H1" s="202"/>
      <c r="I1" s="202"/>
      <c r="J1" s="203"/>
      <c r="L1" s="201" t="s">
        <v>38</v>
      </c>
      <c r="M1" s="202"/>
      <c r="N1" s="202"/>
      <c r="O1" s="202"/>
      <c r="P1" s="202"/>
      <c r="Q1" s="202"/>
      <c r="R1" s="202"/>
      <c r="S1" s="202"/>
      <c r="T1" s="202"/>
      <c r="U1" s="203"/>
      <c r="W1" s="201" t="s">
        <v>39</v>
      </c>
      <c r="X1" s="202"/>
      <c r="Y1" s="202"/>
      <c r="Z1" s="202"/>
      <c r="AA1" s="202"/>
      <c r="AB1" s="202"/>
      <c r="AC1" s="202"/>
      <c r="AD1" s="202"/>
      <c r="AE1" s="202"/>
      <c r="AF1" s="203"/>
      <c r="AH1" s="188" t="s">
        <v>40</v>
      </c>
      <c r="AI1" s="189"/>
      <c r="AJ1" s="189"/>
      <c r="AK1" s="189"/>
      <c r="AL1" s="189"/>
      <c r="AM1" s="189"/>
      <c r="AN1" s="189"/>
      <c r="AO1" s="189"/>
      <c r="AP1" s="189"/>
      <c r="AQ1" s="190"/>
    </row>
    <row r="2" spans="1:43" ht="14.45" customHeight="1" x14ac:dyDescent="0.25">
      <c r="A2" s="207" t="s">
        <v>3</v>
      </c>
      <c r="B2" s="209" t="s">
        <v>13</v>
      </c>
      <c r="C2" s="179"/>
      <c r="D2" s="179"/>
      <c r="E2" s="180"/>
      <c r="F2" s="181" t="s">
        <v>16</v>
      </c>
      <c r="G2" s="182"/>
      <c r="H2" s="182"/>
      <c r="I2" s="183"/>
      <c r="J2" s="186" t="s">
        <v>7</v>
      </c>
      <c r="L2" s="207" t="s">
        <v>3</v>
      </c>
      <c r="M2" s="209" t="s">
        <v>13</v>
      </c>
      <c r="N2" s="179"/>
      <c r="O2" s="179"/>
      <c r="P2" s="180"/>
      <c r="Q2" s="181" t="s">
        <v>16</v>
      </c>
      <c r="R2" s="182"/>
      <c r="S2" s="182"/>
      <c r="T2" s="183"/>
      <c r="U2" s="186" t="s">
        <v>7</v>
      </c>
      <c r="W2" s="207" t="s">
        <v>3</v>
      </c>
      <c r="X2" s="209" t="s">
        <v>13</v>
      </c>
      <c r="Y2" s="179"/>
      <c r="Z2" s="179"/>
      <c r="AA2" s="180"/>
      <c r="AB2" s="181" t="s">
        <v>16</v>
      </c>
      <c r="AC2" s="182"/>
      <c r="AD2" s="182"/>
      <c r="AE2" s="183"/>
      <c r="AF2" s="186" t="s">
        <v>7</v>
      </c>
      <c r="AH2" s="207" t="s">
        <v>3</v>
      </c>
      <c r="AI2" s="209" t="s">
        <v>13</v>
      </c>
      <c r="AJ2" s="179"/>
      <c r="AK2" s="179"/>
      <c r="AL2" s="180"/>
      <c r="AM2" s="181" t="s">
        <v>16</v>
      </c>
      <c r="AN2" s="182"/>
      <c r="AO2" s="182"/>
      <c r="AP2" s="183"/>
      <c r="AQ2" s="186" t="s">
        <v>7</v>
      </c>
    </row>
    <row r="3" spans="1:43" ht="14.45" customHeight="1" thickBot="1" x14ac:dyDescent="0.3">
      <c r="A3" s="208"/>
      <c r="B3" s="8" t="s">
        <v>4</v>
      </c>
      <c r="C3" s="8" t="s">
        <v>5</v>
      </c>
      <c r="D3" s="69" t="s">
        <v>17</v>
      </c>
      <c r="E3" s="8" t="s">
        <v>6</v>
      </c>
      <c r="F3" s="8" t="s">
        <v>4</v>
      </c>
      <c r="G3" s="8" t="s">
        <v>5</v>
      </c>
      <c r="H3" s="69" t="s">
        <v>17</v>
      </c>
      <c r="I3" s="38" t="s">
        <v>6</v>
      </c>
      <c r="J3" s="194"/>
      <c r="L3" s="208"/>
      <c r="M3" s="8" t="s">
        <v>4</v>
      </c>
      <c r="N3" s="8" t="s">
        <v>5</v>
      </c>
      <c r="O3" s="69" t="s">
        <v>17</v>
      </c>
      <c r="P3" s="8" t="s">
        <v>6</v>
      </c>
      <c r="Q3" s="8" t="s">
        <v>4</v>
      </c>
      <c r="R3" s="8" t="s">
        <v>5</v>
      </c>
      <c r="S3" s="69" t="s">
        <v>17</v>
      </c>
      <c r="T3" s="38" t="s">
        <v>6</v>
      </c>
      <c r="U3" s="194"/>
      <c r="W3" s="208"/>
      <c r="X3" s="8" t="s">
        <v>4</v>
      </c>
      <c r="Y3" s="8" t="s">
        <v>5</v>
      </c>
      <c r="Z3" s="69" t="s">
        <v>17</v>
      </c>
      <c r="AA3" s="8" t="s">
        <v>6</v>
      </c>
      <c r="AB3" s="8" t="s">
        <v>4</v>
      </c>
      <c r="AC3" s="8" t="s">
        <v>5</v>
      </c>
      <c r="AD3" s="69" t="s">
        <v>17</v>
      </c>
      <c r="AE3" s="38" t="s">
        <v>6</v>
      </c>
      <c r="AF3" s="194"/>
      <c r="AH3" s="208"/>
      <c r="AI3" s="8" t="s">
        <v>4</v>
      </c>
      <c r="AJ3" s="8" t="s">
        <v>5</v>
      </c>
      <c r="AK3" s="69" t="s">
        <v>17</v>
      </c>
      <c r="AL3" s="8" t="s">
        <v>6</v>
      </c>
      <c r="AM3" s="8" t="s">
        <v>4</v>
      </c>
      <c r="AN3" s="8" t="s">
        <v>5</v>
      </c>
      <c r="AO3" s="69" t="s">
        <v>17</v>
      </c>
      <c r="AP3" s="38" t="s">
        <v>6</v>
      </c>
      <c r="AQ3" s="194"/>
    </row>
    <row r="4" spans="1:43" ht="14.45" customHeight="1" x14ac:dyDescent="0.25">
      <c r="A4" s="5">
        <v>4</v>
      </c>
      <c r="B4" s="5">
        <f>24+17+12+34</f>
        <v>87</v>
      </c>
      <c r="C4" s="5">
        <f>3+10+14+18</f>
        <v>45</v>
      </c>
      <c r="D4" s="63">
        <f>SUM(B4:C4)</f>
        <v>132</v>
      </c>
      <c r="E4" s="6">
        <f t="shared" ref="E4:E18" si="0">C4/B4</f>
        <v>0.51724137931034486</v>
      </c>
      <c r="F4" s="5">
        <f>10+31+22</f>
        <v>63</v>
      </c>
      <c r="G4" s="5">
        <f>10+16+22</f>
        <v>48</v>
      </c>
      <c r="H4" s="63">
        <f>SUM(F4:G4)</f>
        <v>111</v>
      </c>
      <c r="I4" s="6">
        <f t="shared" ref="I4:I18" si="1">G4/F4</f>
        <v>0.76190476190476186</v>
      </c>
      <c r="J4" s="166">
        <f t="shared" ref="J4:J18" si="2">I4/E4</f>
        <v>1.4730158730158729</v>
      </c>
      <c r="L4" s="67">
        <v>10</v>
      </c>
      <c r="M4" s="5">
        <f>41+30+42</f>
        <v>113</v>
      </c>
      <c r="N4" s="5">
        <f>22+9+14</f>
        <v>45</v>
      </c>
      <c r="O4" s="63">
        <f>SUM(M4:N4)</f>
        <v>158</v>
      </c>
      <c r="P4" s="6">
        <f t="shared" ref="P4:P28" si="3">N4/M4</f>
        <v>0.39823008849557523</v>
      </c>
      <c r="Q4" s="5">
        <f>10+29+16</f>
        <v>55</v>
      </c>
      <c r="R4" s="5">
        <f>18+15+9</f>
        <v>42</v>
      </c>
      <c r="S4" s="63">
        <f>SUM(Q4:R4)</f>
        <v>97</v>
      </c>
      <c r="T4" s="6">
        <f t="shared" ref="T4:T28" si="4">R4/Q4</f>
        <v>0.76363636363636367</v>
      </c>
      <c r="U4" s="170">
        <f t="shared" ref="U4:U28" si="5">T4/P4</f>
        <v>1.9175757575757577</v>
      </c>
      <c r="W4" s="18">
        <v>1</v>
      </c>
      <c r="X4" s="9">
        <f>9+5+12+13+14</f>
        <v>53</v>
      </c>
      <c r="Y4" s="9">
        <f>1+9+10+8+10</f>
        <v>38</v>
      </c>
      <c r="Z4" s="63">
        <f>SUM(X4:Y4)</f>
        <v>91</v>
      </c>
      <c r="AA4" s="10">
        <f t="shared" ref="AA4:AA8" si="6">Y4/X4</f>
        <v>0.71698113207547165</v>
      </c>
      <c r="AB4" s="9">
        <f>5+19+1</f>
        <v>25</v>
      </c>
      <c r="AC4" s="9">
        <f>2</f>
        <v>2</v>
      </c>
      <c r="AD4" s="63">
        <f>SUM(AB4:AC4)</f>
        <v>27</v>
      </c>
      <c r="AE4" s="11">
        <f>AC4/AB4</f>
        <v>0.08</v>
      </c>
      <c r="AF4" s="165">
        <f t="shared" ref="AF4:AF18" si="7">AE4/AA4</f>
        <v>0.11157894736842107</v>
      </c>
      <c r="AH4" s="67">
        <v>1</v>
      </c>
      <c r="AI4" s="5">
        <f>29+8+18+25+26</f>
        <v>106</v>
      </c>
      <c r="AJ4" s="5">
        <f>1+5+4+20</f>
        <v>30</v>
      </c>
      <c r="AK4" s="63">
        <f>SUM(AI4:AJ4)</f>
        <v>136</v>
      </c>
      <c r="AL4" s="6">
        <f t="shared" ref="AL4:AL9" si="8">AJ4/AI4</f>
        <v>0.28301886792452829</v>
      </c>
      <c r="AM4" s="5">
        <f>13+29+20</f>
        <v>62</v>
      </c>
      <c r="AN4" s="5">
        <v>0</v>
      </c>
      <c r="AO4" s="63">
        <f>SUM(AM4:AN4)</f>
        <v>62</v>
      </c>
      <c r="AP4" s="6">
        <f t="shared" ref="AP4:AP11" si="9">AN4/AM4</f>
        <v>0</v>
      </c>
      <c r="AQ4" s="166">
        <f t="shared" ref="AQ4:AQ11" si="10">AP4/AL4</f>
        <v>0</v>
      </c>
    </row>
    <row r="5" spans="1:43" ht="14.45" customHeight="1" x14ac:dyDescent="0.25">
      <c r="A5" s="5">
        <v>3</v>
      </c>
      <c r="B5" s="5">
        <f>15+12+28</f>
        <v>55</v>
      </c>
      <c r="C5" s="5">
        <f>6+10+22</f>
        <v>38</v>
      </c>
      <c r="D5" s="5">
        <f t="shared" ref="D5:D18" si="11">SUM(B5:C5)</f>
        <v>93</v>
      </c>
      <c r="E5" s="6">
        <f t="shared" si="0"/>
        <v>0.69090909090909092</v>
      </c>
      <c r="F5" s="5">
        <f>57+11</f>
        <v>68</v>
      </c>
      <c r="G5" s="5">
        <f>38+7</f>
        <v>45</v>
      </c>
      <c r="H5" s="5">
        <f t="shared" ref="H5:H18" si="12">SUM(F5:G5)</f>
        <v>113</v>
      </c>
      <c r="I5" s="6">
        <f t="shared" si="1"/>
        <v>0.66176470588235292</v>
      </c>
      <c r="J5" s="166">
        <f t="shared" si="2"/>
        <v>0.95781733746130027</v>
      </c>
      <c r="L5" s="67">
        <v>6</v>
      </c>
      <c r="M5" s="5">
        <f>37+26+37</f>
        <v>100</v>
      </c>
      <c r="N5" s="5">
        <f>19+7+17</f>
        <v>43</v>
      </c>
      <c r="O5" s="5">
        <f t="shared" ref="O5:O28" si="13">SUM(M5:N5)</f>
        <v>143</v>
      </c>
      <c r="P5" s="6">
        <f t="shared" si="3"/>
        <v>0.43</v>
      </c>
      <c r="Q5" s="5">
        <f>25+42+3</f>
        <v>70</v>
      </c>
      <c r="R5" s="5">
        <f>17+32+4</f>
        <v>53</v>
      </c>
      <c r="S5" s="5">
        <f t="shared" ref="S5:S28" si="14">SUM(Q5:R5)</f>
        <v>123</v>
      </c>
      <c r="T5" s="6">
        <f t="shared" si="4"/>
        <v>0.75714285714285712</v>
      </c>
      <c r="U5" s="170">
        <f t="shared" si="5"/>
        <v>1.760797342192691</v>
      </c>
      <c r="W5" s="16">
        <v>3</v>
      </c>
      <c r="X5" s="5">
        <f>10+4+13+30+21</f>
        <v>78</v>
      </c>
      <c r="Y5" s="5">
        <f>1+8+14+12+4</f>
        <v>39</v>
      </c>
      <c r="Z5" s="5">
        <f t="shared" ref="Z5:Z18" si="15">SUM(X5:Y5)</f>
        <v>117</v>
      </c>
      <c r="AA5" s="6">
        <f t="shared" si="6"/>
        <v>0.5</v>
      </c>
      <c r="AB5" s="5">
        <f>20+57+3</f>
        <v>80</v>
      </c>
      <c r="AC5" s="5">
        <v>10</v>
      </c>
      <c r="AD5" s="5">
        <f t="shared" ref="AD5:AD18" si="16">SUM(AB5:AC5)</f>
        <v>90</v>
      </c>
      <c r="AE5" s="12">
        <f t="shared" ref="AE5:AE18" si="17">AC5/AB5</f>
        <v>0.125</v>
      </c>
      <c r="AF5" s="166">
        <f t="shared" si="7"/>
        <v>0.25</v>
      </c>
      <c r="AH5" s="67">
        <v>2</v>
      </c>
      <c r="AI5" s="5">
        <f>14+9+15+29+19</f>
        <v>86</v>
      </c>
      <c r="AJ5" s="5">
        <f>1+5+10+15</f>
        <v>31</v>
      </c>
      <c r="AK5" s="5">
        <f t="shared" ref="AK5:AK11" si="18">SUM(AI5:AJ5)</f>
        <v>117</v>
      </c>
      <c r="AL5" s="6">
        <f t="shared" si="8"/>
        <v>0.36046511627906974</v>
      </c>
      <c r="AM5" s="5">
        <f>17+53+2</f>
        <v>72</v>
      </c>
      <c r="AN5" s="5">
        <v>5</v>
      </c>
      <c r="AO5" s="5">
        <f t="shared" ref="AO5:AO11" si="19">SUM(AM5:AN5)</f>
        <v>77</v>
      </c>
      <c r="AP5" s="6">
        <f t="shared" si="9"/>
        <v>6.9444444444444448E-2</v>
      </c>
      <c r="AQ5" s="166">
        <f t="shared" si="10"/>
        <v>0.19265232974910396</v>
      </c>
    </row>
    <row r="6" spans="1:43" ht="14.45" customHeight="1" x14ac:dyDescent="0.25">
      <c r="A6" s="5">
        <v>5</v>
      </c>
      <c r="B6" s="5">
        <f>23+17+3</f>
        <v>43</v>
      </c>
      <c r="C6" s="5">
        <f>7+14+4</f>
        <v>25</v>
      </c>
      <c r="D6" s="5">
        <f t="shared" si="11"/>
        <v>68</v>
      </c>
      <c r="E6" s="6">
        <f t="shared" si="0"/>
        <v>0.58139534883720934</v>
      </c>
      <c r="F6" s="5">
        <f>70+15</f>
        <v>85</v>
      </c>
      <c r="G6" s="5">
        <f>47</f>
        <v>47</v>
      </c>
      <c r="H6" s="5">
        <f t="shared" si="12"/>
        <v>132</v>
      </c>
      <c r="I6" s="6">
        <f t="shared" si="1"/>
        <v>0.55294117647058827</v>
      </c>
      <c r="J6" s="166">
        <f t="shared" si="2"/>
        <v>0.95105882352941173</v>
      </c>
      <c r="L6" s="7">
        <v>3</v>
      </c>
      <c r="M6" s="5">
        <f>63+35+9</f>
        <v>107</v>
      </c>
      <c r="N6" s="5">
        <f>25+11+1</f>
        <v>37</v>
      </c>
      <c r="O6" s="5">
        <f t="shared" si="13"/>
        <v>144</v>
      </c>
      <c r="P6" s="6">
        <f t="shared" si="3"/>
        <v>0.34579439252336447</v>
      </c>
      <c r="Q6" s="5">
        <f>39+31+30</f>
        <v>100</v>
      </c>
      <c r="R6" s="5">
        <f>24+17+12</f>
        <v>53</v>
      </c>
      <c r="S6" s="5">
        <f t="shared" si="14"/>
        <v>153</v>
      </c>
      <c r="T6" s="6">
        <f t="shared" si="4"/>
        <v>0.53</v>
      </c>
      <c r="U6" s="170">
        <f t="shared" si="5"/>
        <v>1.5327027027027029</v>
      </c>
      <c r="W6" s="17">
        <v>4</v>
      </c>
      <c r="X6" s="5">
        <f>12+5+15+7+4</f>
        <v>43</v>
      </c>
      <c r="Y6" s="5">
        <f>3+3+6+4+1</f>
        <v>17</v>
      </c>
      <c r="Z6" s="5">
        <f t="shared" si="15"/>
        <v>60</v>
      </c>
      <c r="AA6" s="6">
        <f t="shared" si="6"/>
        <v>0.39534883720930231</v>
      </c>
      <c r="AB6" s="5">
        <f>18+48+10</f>
        <v>76</v>
      </c>
      <c r="AC6" s="5">
        <f>5+11+2</f>
        <v>18</v>
      </c>
      <c r="AD6" s="5">
        <f t="shared" si="16"/>
        <v>94</v>
      </c>
      <c r="AE6" s="12">
        <f t="shared" si="17"/>
        <v>0.23684210526315788</v>
      </c>
      <c r="AF6" s="166">
        <f t="shared" si="7"/>
        <v>0.59907120743034059</v>
      </c>
      <c r="AH6" s="7">
        <v>3</v>
      </c>
      <c r="AI6" s="5">
        <f>5+9+19+11</f>
        <v>44</v>
      </c>
      <c r="AJ6" s="5">
        <f>1+2+1+6</f>
        <v>10</v>
      </c>
      <c r="AK6" s="5">
        <f t="shared" si="18"/>
        <v>54</v>
      </c>
      <c r="AL6" s="6">
        <f t="shared" si="8"/>
        <v>0.22727272727272727</v>
      </c>
      <c r="AM6" s="5">
        <f>20+57+5</f>
        <v>82</v>
      </c>
      <c r="AN6" s="5">
        <v>0</v>
      </c>
      <c r="AO6" s="5">
        <f t="shared" si="19"/>
        <v>82</v>
      </c>
      <c r="AP6" s="6">
        <f t="shared" si="9"/>
        <v>0</v>
      </c>
      <c r="AQ6" s="166">
        <f t="shared" si="10"/>
        <v>0</v>
      </c>
    </row>
    <row r="7" spans="1:43" ht="14.45" customHeight="1" x14ac:dyDescent="0.25">
      <c r="A7" s="5">
        <v>2</v>
      </c>
      <c r="B7" s="5">
        <f>33+17+29</f>
        <v>79</v>
      </c>
      <c r="C7" s="5">
        <f>15+14+22</f>
        <v>51</v>
      </c>
      <c r="D7" s="5">
        <f t="shared" si="11"/>
        <v>130</v>
      </c>
      <c r="E7" s="6">
        <f t="shared" si="0"/>
        <v>0.64556962025316456</v>
      </c>
      <c r="F7" s="5">
        <f>57+16</f>
        <v>73</v>
      </c>
      <c r="G7" s="5">
        <f>33+11</f>
        <v>44</v>
      </c>
      <c r="H7" s="5">
        <f t="shared" si="12"/>
        <v>117</v>
      </c>
      <c r="I7" s="6">
        <f t="shared" si="1"/>
        <v>0.60273972602739723</v>
      </c>
      <c r="J7" s="166">
        <f t="shared" si="2"/>
        <v>0.93365565404243889</v>
      </c>
      <c r="L7" s="67">
        <v>6</v>
      </c>
      <c r="M7" s="5">
        <f>43+36+15</f>
        <v>94</v>
      </c>
      <c r="N7" s="5">
        <f>23+12+14</f>
        <v>49</v>
      </c>
      <c r="O7" s="5">
        <f t="shared" si="13"/>
        <v>143</v>
      </c>
      <c r="P7" s="6">
        <f t="shared" si="3"/>
        <v>0.52127659574468088</v>
      </c>
      <c r="Q7" s="5">
        <f>40+24</f>
        <v>64</v>
      </c>
      <c r="R7" s="5">
        <f>33+17</f>
        <v>50</v>
      </c>
      <c r="S7" s="5">
        <f t="shared" si="14"/>
        <v>114</v>
      </c>
      <c r="T7" s="6">
        <f t="shared" si="4"/>
        <v>0.78125</v>
      </c>
      <c r="U7" s="170">
        <f t="shared" si="5"/>
        <v>1.4987244897959182</v>
      </c>
      <c r="W7" s="17">
        <v>5</v>
      </c>
      <c r="X7" s="5">
        <f>1+7+7+4+7</f>
        <v>26</v>
      </c>
      <c r="Y7" s="5">
        <f>1+6+1+1</f>
        <v>9</v>
      </c>
      <c r="Z7" s="5">
        <f t="shared" si="15"/>
        <v>35</v>
      </c>
      <c r="AA7" s="6">
        <f t="shared" si="6"/>
        <v>0.34615384615384615</v>
      </c>
      <c r="AB7" s="5">
        <f>21+26</f>
        <v>47</v>
      </c>
      <c r="AC7" s="5">
        <f>3+15</f>
        <v>18</v>
      </c>
      <c r="AD7" s="5">
        <f t="shared" si="16"/>
        <v>65</v>
      </c>
      <c r="AE7" s="12">
        <f t="shared" si="17"/>
        <v>0.38297872340425532</v>
      </c>
      <c r="AF7" s="166">
        <f t="shared" si="7"/>
        <v>1.1063829787234043</v>
      </c>
      <c r="AH7" s="67">
        <v>4</v>
      </c>
      <c r="AI7" s="5">
        <f>8+3+15+21+17</f>
        <v>64</v>
      </c>
      <c r="AJ7" s="5">
        <f>3+3+6+15</f>
        <v>27</v>
      </c>
      <c r="AK7" s="5">
        <f t="shared" si="18"/>
        <v>91</v>
      </c>
      <c r="AL7" s="6">
        <f t="shared" si="8"/>
        <v>0.421875</v>
      </c>
      <c r="AM7" s="5">
        <f>4+20+1</f>
        <v>25</v>
      </c>
      <c r="AN7" s="5">
        <v>2</v>
      </c>
      <c r="AO7" s="5">
        <f t="shared" si="19"/>
        <v>27</v>
      </c>
      <c r="AP7" s="6">
        <f t="shared" si="9"/>
        <v>0.08</v>
      </c>
      <c r="AQ7" s="166">
        <f t="shared" si="10"/>
        <v>0.18962962962962962</v>
      </c>
    </row>
    <row r="8" spans="1:43" x14ac:dyDescent="0.25">
      <c r="A8" s="5">
        <v>1</v>
      </c>
      <c r="B8" s="5">
        <f>37+13+13+32</f>
        <v>95</v>
      </c>
      <c r="C8" s="5">
        <f>2+7+16+13</f>
        <v>38</v>
      </c>
      <c r="D8" s="5">
        <f t="shared" si="11"/>
        <v>133</v>
      </c>
      <c r="E8" s="6">
        <f t="shared" si="0"/>
        <v>0.4</v>
      </c>
      <c r="F8" s="5">
        <f>20+30+18</f>
        <v>68</v>
      </c>
      <c r="G8" s="5">
        <f>3+10+9</f>
        <v>22</v>
      </c>
      <c r="H8" s="5">
        <f t="shared" si="12"/>
        <v>90</v>
      </c>
      <c r="I8" s="6">
        <f t="shared" si="1"/>
        <v>0.3235294117647059</v>
      </c>
      <c r="J8" s="166">
        <f t="shared" si="2"/>
        <v>0.80882352941176472</v>
      </c>
      <c r="L8" s="67">
        <v>1</v>
      </c>
      <c r="M8" s="5">
        <f>25+38+7</f>
        <v>70</v>
      </c>
      <c r="N8" s="5">
        <f>14+15+1</f>
        <v>30</v>
      </c>
      <c r="O8" s="5">
        <f t="shared" si="13"/>
        <v>100</v>
      </c>
      <c r="P8" s="6">
        <f t="shared" si="3"/>
        <v>0.42857142857142855</v>
      </c>
      <c r="Q8" s="5">
        <f>19+14</f>
        <v>33</v>
      </c>
      <c r="R8" s="5">
        <f>15+6</f>
        <v>21</v>
      </c>
      <c r="S8" s="5">
        <f t="shared" si="14"/>
        <v>54</v>
      </c>
      <c r="T8" s="6">
        <f t="shared" si="4"/>
        <v>0.63636363636363635</v>
      </c>
      <c r="U8" s="170">
        <f t="shared" si="5"/>
        <v>1.4848484848484849</v>
      </c>
      <c r="W8" s="17">
        <v>7</v>
      </c>
      <c r="X8" s="5">
        <f>14+2+11+3+12</f>
        <v>42</v>
      </c>
      <c r="Y8" s="5">
        <f>2+7+6+4</f>
        <v>19</v>
      </c>
      <c r="Z8" s="5">
        <f t="shared" si="15"/>
        <v>61</v>
      </c>
      <c r="AA8" s="6">
        <f t="shared" si="6"/>
        <v>0.45238095238095238</v>
      </c>
      <c r="AB8" s="5">
        <f>10+27</f>
        <v>37</v>
      </c>
      <c r="AC8" s="5">
        <f>7</f>
        <v>7</v>
      </c>
      <c r="AD8" s="5">
        <f t="shared" si="16"/>
        <v>44</v>
      </c>
      <c r="AE8" s="12">
        <f t="shared" si="17"/>
        <v>0.1891891891891892</v>
      </c>
      <c r="AF8" s="166">
        <f t="shared" si="7"/>
        <v>0.41820768136557612</v>
      </c>
      <c r="AH8" s="67">
        <v>5</v>
      </c>
      <c r="AI8" s="5">
        <f>23+3+15+25+26</f>
        <v>92</v>
      </c>
      <c r="AJ8" s="5">
        <f>4+3+14+25</f>
        <v>46</v>
      </c>
      <c r="AK8" s="5">
        <f t="shared" si="18"/>
        <v>138</v>
      </c>
      <c r="AL8" s="6">
        <f t="shared" si="8"/>
        <v>0.5</v>
      </c>
      <c r="AM8" s="5">
        <f>19+24+27</f>
        <v>70</v>
      </c>
      <c r="AN8" s="5">
        <v>0</v>
      </c>
      <c r="AO8" s="5">
        <f t="shared" si="19"/>
        <v>70</v>
      </c>
      <c r="AP8" s="6">
        <f t="shared" si="9"/>
        <v>0</v>
      </c>
      <c r="AQ8" s="166">
        <f t="shared" si="10"/>
        <v>0</v>
      </c>
    </row>
    <row r="9" spans="1:43" x14ac:dyDescent="0.25">
      <c r="A9" s="5">
        <v>5</v>
      </c>
      <c r="B9" s="5">
        <f>36+13+16+16</f>
        <v>81</v>
      </c>
      <c r="C9" s="5">
        <f>10+6+13+7</f>
        <v>36</v>
      </c>
      <c r="D9" s="5">
        <f t="shared" si="11"/>
        <v>117</v>
      </c>
      <c r="E9" s="6">
        <f t="shared" si="0"/>
        <v>0.44444444444444442</v>
      </c>
      <c r="F9" s="5">
        <f>25+41+19</f>
        <v>85</v>
      </c>
      <c r="G9" s="5">
        <f>3+19+7</f>
        <v>29</v>
      </c>
      <c r="H9" s="5">
        <f t="shared" si="12"/>
        <v>114</v>
      </c>
      <c r="I9" s="6">
        <f t="shared" si="1"/>
        <v>0.3411764705882353</v>
      </c>
      <c r="J9" s="166">
        <f t="shared" si="2"/>
        <v>0.76764705882352946</v>
      </c>
      <c r="L9" s="67">
        <v>5</v>
      </c>
      <c r="M9" s="5">
        <f>22+44+37</f>
        <v>103</v>
      </c>
      <c r="N9" s="5">
        <f>13+16+26</f>
        <v>55</v>
      </c>
      <c r="O9" s="5">
        <f t="shared" si="13"/>
        <v>158</v>
      </c>
      <c r="P9" s="6">
        <f t="shared" si="3"/>
        <v>0.53398058252427183</v>
      </c>
      <c r="Q9" s="5">
        <f>30+22+1</f>
        <v>53</v>
      </c>
      <c r="R9" s="5">
        <f>19+16+1</f>
        <v>36</v>
      </c>
      <c r="S9" s="5">
        <f t="shared" si="14"/>
        <v>89</v>
      </c>
      <c r="T9" s="6">
        <f t="shared" si="4"/>
        <v>0.67924528301886788</v>
      </c>
      <c r="U9" s="170">
        <f t="shared" si="5"/>
        <v>1.2720411663807889</v>
      </c>
      <c r="W9" s="17">
        <v>8</v>
      </c>
      <c r="X9" s="5">
        <f>54+13+11+12+15</f>
        <v>105</v>
      </c>
      <c r="Y9" s="5">
        <f>9+8+7+9+17</f>
        <v>50</v>
      </c>
      <c r="Z9" s="5">
        <f t="shared" si="15"/>
        <v>155</v>
      </c>
      <c r="AA9" s="6">
        <f>Y9/X9</f>
        <v>0.47619047619047616</v>
      </c>
      <c r="AB9" s="5">
        <f>16+61+12</f>
        <v>89</v>
      </c>
      <c r="AC9" s="5">
        <f>4+13+6</f>
        <v>23</v>
      </c>
      <c r="AD9" s="5">
        <f t="shared" si="16"/>
        <v>112</v>
      </c>
      <c r="AE9" s="12">
        <f t="shared" si="17"/>
        <v>0.25842696629213485</v>
      </c>
      <c r="AF9" s="166">
        <f t="shared" si="7"/>
        <v>0.54269662921348327</v>
      </c>
      <c r="AH9" s="67">
        <v>7</v>
      </c>
      <c r="AI9" s="5">
        <f>13+2+14+26+19</f>
        <v>74</v>
      </c>
      <c r="AJ9" s="5">
        <f>5+8+19</f>
        <v>32</v>
      </c>
      <c r="AK9" s="5">
        <f t="shared" si="18"/>
        <v>106</v>
      </c>
      <c r="AL9" s="6">
        <f t="shared" si="8"/>
        <v>0.43243243243243246</v>
      </c>
      <c r="AM9" s="5">
        <f>17+60+19</f>
        <v>96</v>
      </c>
      <c r="AN9" s="5">
        <v>0</v>
      </c>
      <c r="AO9" s="5">
        <f t="shared" si="19"/>
        <v>96</v>
      </c>
      <c r="AP9" s="6">
        <f t="shared" si="9"/>
        <v>0</v>
      </c>
      <c r="AQ9" s="166">
        <f t="shared" si="10"/>
        <v>0</v>
      </c>
    </row>
    <row r="10" spans="1:43" x14ac:dyDescent="0.25">
      <c r="A10" s="5">
        <v>10</v>
      </c>
      <c r="B10" s="5">
        <f>23+22+9</f>
        <v>54</v>
      </c>
      <c r="C10" s="5">
        <f>8+11+6</f>
        <v>25</v>
      </c>
      <c r="D10" s="5">
        <f t="shared" si="11"/>
        <v>79</v>
      </c>
      <c r="E10" s="6">
        <f t="shared" si="0"/>
        <v>0.46296296296296297</v>
      </c>
      <c r="F10" s="5">
        <f>62</f>
        <v>62</v>
      </c>
      <c r="G10" s="5">
        <f>22</f>
        <v>22</v>
      </c>
      <c r="H10" s="5">
        <f t="shared" si="12"/>
        <v>84</v>
      </c>
      <c r="I10" s="6">
        <f t="shared" si="1"/>
        <v>0.35483870967741937</v>
      </c>
      <c r="J10" s="166">
        <f t="shared" si="2"/>
        <v>0.76645161290322583</v>
      </c>
      <c r="L10" s="67">
        <v>4</v>
      </c>
      <c r="M10" s="5">
        <f>45+13+13</f>
        <v>71</v>
      </c>
      <c r="N10" s="5">
        <f>24+6+6</f>
        <v>36</v>
      </c>
      <c r="O10" s="5">
        <f t="shared" si="13"/>
        <v>107</v>
      </c>
      <c r="P10" s="6">
        <f t="shared" si="3"/>
        <v>0.50704225352112675</v>
      </c>
      <c r="Q10" s="5">
        <f>29+45+11</f>
        <v>85</v>
      </c>
      <c r="R10" s="5">
        <f>13+34+4</f>
        <v>51</v>
      </c>
      <c r="S10" s="5">
        <f t="shared" si="14"/>
        <v>136</v>
      </c>
      <c r="T10" s="6">
        <f t="shared" si="4"/>
        <v>0.6</v>
      </c>
      <c r="U10" s="170">
        <f t="shared" si="5"/>
        <v>1.1833333333333333</v>
      </c>
      <c r="W10" s="17">
        <v>9</v>
      </c>
      <c r="X10" s="5">
        <f>1+3+1+1+2</f>
        <v>8</v>
      </c>
      <c r="Y10" s="5">
        <f>2+1</f>
        <v>3</v>
      </c>
      <c r="Z10" s="5">
        <f t="shared" si="15"/>
        <v>11</v>
      </c>
      <c r="AA10" s="6">
        <f>Y10/X10</f>
        <v>0.375</v>
      </c>
      <c r="AB10" s="5">
        <f>18+70+12</f>
        <v>100</v>
      </c>
      <c r="AC10" s="5">
        <f>1+18+3</f>
        <v>22</v>
      </c>
      <c r="AD10" s="5">
        <f t="shared" si="16"/>
        <v>122</v>
      </c>
      <c r="AE10" s="12">
        <f t="shared" si="17"/>
        <v>0.22</v>
      </c>
      <c r="AF10" s="167">
        <f t="shared" si="7"/>
        <v>0.58666666666666667</v>
      </c>
      <c r="AH10" s="67">
        <v>8</v>
      </c>
      <c r="AI10" s="5">
        <f>15+3+4+9+20</f>
        <v>51</v>
      </c>
      <c r="AJ10" s="5">
        <f>1+2+9+10</f>
        <v>22</v>
      </c>
      <c r="AK10" s="5">
        <f t="shared" si="18"/>
        <v>73</v>
      </c>
      <c r="AL10" s="6">
        <f>AJ10/AI10</f>
        <v>0.43137254901960786</v>
      </c>
      <c r="AM10" s="5">
        <f>18+28+16</f>
        <v>62</v>
      </c>
      <c r="AN10" s="5">
        <v>0</v>
      </c>
      <c r="AO10" s="5">
        <f t="shared" si="19"/>
        <v>62</v>
      </c>
      <c r="AP10" s="6">
        <f t="shared" si="9"/>
        <v>0</v>
      </c>
      <c r="AQ10" s="166">
        <f t="shared" ref="AQ10" si="20">AP10/AL10</f>
        <v>0</v>
      </c>
    </row>
    <row r="11" spans="1:43" ht="15.75" thickBot="1" x14ac:dyDescent="0.3">
      <c r="A11" s="5">
        <v>4</v>
      </c>
      <c r="B11" s="5">
        <f>23+10+31+22</f>
        <v>86</v>
      </c>
      <c r="C11" s="5">
        <f>3+26+3+13</f>
        <v>45</v>
      </c>
      <c r="D11" s="5">
        <f t="shared" si="11"/>
        <v>131</v>
      </c>
      <c r="E11" s="6">
        <f t="shared" si="0"/>
        <v>0.52325581395348841</v>
      </c>
      <c r="F11" s="5">
        <f>28</f>
        <v>28</v>
      </c>
      <c r="G11" s="5">
        <f>7+4</f>
        <v>11</v>
      </c>
      <c r="H11" s="5">
        <f t="shared" si="12"/>
        <v>39</v>
      </c>
      <c r="I11" s="6">
        <f t="shared" si="1"/>
        <v>0.39285714285714285</v>
      </c>
      <c r="J11" s="166">
        <f t="shared" si="2"/>
        <v>0.75079365079365068</v>
      </c>
      <c r="L11" s="67">
        <v>8</v>
      </c>
      <c r="M11" s="5">
        <f>36+39+27</f>
        <v>102</v>
      </c>
      <c r="N11" s="5">
        <f>27+15+15</f>
        <v>57</v>
      </c>
      <c r="O11" s="5">
        <f t="shared" si="13"/>
        <v>159</v>
      </c>
      <c r="P11" s="6">
        <f t="shared" si="3"/>
        <v>0.55882352941176472</v>
      </c>
      <c r="Q11" s="5">
        <f>33+16</f>
        <v>49</v>
      </c>
      <c r="R11" s="5">
        <f>21+11</f>
        <v>32</v>
      </c>
      <c r="S11" s="5">
        <f t="shared" si="14"/>
        <v>81</v>
      </c>
      <c r="T11" s="6">
        <f t="shared" si="4"/>
        <v>0.65306122448979587</v>
      </c>
      <c r="U11" s="178">
        <f t="shared" si="5"/>
        <v>1.1686358754027926</v>
      </c>
      <c r="W11" s="17">
        <v>10</v>
      </c>
      <c r="X11" s="5">
        <f>1+9+6+2+6</f>
        <v>24</v>
      </c>
      <c r="Y11" s="5">
        <f>1+5+4+2</f>
        <v>12</v>
      </c>
      <c r="Z11" s="5">
        <f t="shared" si="15"/>
        <v>36</v>
      </c>
      <c r="AA11" s="6">
        <f>Y11/X11</f>
        <v>0.5</v>
      </c>
      <c r="AB11" s="5">
        <f>12+36+16</f>
        <v>64</v>
      </c>
      <c r="AC11" s="5">
        <f>1</f>
        <v>1</v>
      </c>
      <c r="AD11" s="5">
        <f t="shared" si="16"/>
        <v>65</v>
      </c>
      <c r="AE11" s="12">
        <f t="shared" si="17"/>
        <v>1.5625E-2</v>
      </c>
      <c r="AF11" s="166">
        <f t="shared" si="7"/>
        <v>3.125E-2</v>
      </c>
      <c r="AH11" s="67">
        <v>10</v>
      </c>
      <c r="AI11" s="5">
        <f>27+8+16+10+21</f>
        <v>82</v>
      </c>
      <c r="AJ11" s="5">
        <f>1+1+4</f>
        <v>6</v>
      </c>
      <c r="AK11" s="5">
        <f t="shared" si="18"/>
        <v>88</v>
      </c>
      <c r="AL11" s="6">
        <f>AJ11/AI11</f>
        <v>7.3170731707317069E-2</v>
      </c>
      <c r="AM11" s="5">
        <f>25+39+7</f>
        <v>71</v>
      </c>
      <c r="AN11" s="5">
        <v>2</v>
      </c>
      <c r="AO11" s="5">
        <f t="shared" si="19"/>
        <v>73</v>
      </c>
      <c r="AP11" s="6">
        <f t="shared" si="9"/>
        <v>2.8169014084507043E-2</v>
      </c>
      <c r="AQ11" s="166">
        <f t="shared" si="10"/>
        <v>0.38497652582159625</v>
      </c>
    </row>
    <row r="12" spans="1:43" ht="15.75" thickBot="1" x14ac:dyDescent="0.3">
      <c r="A12" s="5">
        <v>7</v>
      </c>
      <c r="B12" s="5">
        <f>24+12+25</f>
        <v>61</v>
      </c>
      <c r="C12" s="5">
        <f>13+5+15</f>
        <v>33</v>
      </c>
      <c r="D12" s="5">
        <f t="shared" si="11"/>
        <v>94</v>
      </c>
      <c r="E12" s="6">
        <f t="shared" si="0"/>
        <v>0.54098360655737709</v>
      </c>
      <c r="F12" s="5">
        <f>74+32</f>
        <v>106</v>
      </c>
      <c r="G12" s="5">
        <f>27+11</f>
        <v>38</v>
      </c>
      <c r="H12" s="5">
        <f t="shared" si="12"/>
        <v>144</v>
      </c>
      <c r="I12" s="6">
        <f t="shared" si="1"/>
        <v>0.35849056603773582</v>
      </c>
      <c r="J12" s="166">
        <f t="shared" si="2"/>
        <v>0.66266437964551161</v>
      </c>
      <c r="L12" s="67">
        <v>1</v>
      </c>
      <c r="M12" s="5">
        <f>24+50+36</f>
        <v>110</v>
      </c>
      <c r="N12" s="5">
        <f>20+13+16</f>
        <v>49</v>
      </c>
      <c r="O12" s="5">
        <f t="shared" si="13"/>
        <v>159</v>
      </c>
      <c r="P12" s="6">
        <f t="shared" si="3"/>
        <v>0.44545454545454544</v>
      </c>
      <c r="Q12" s="5">
        <f>10+26+1</f>
        <v>37</v>
      </c>
      <c r="R12" s="5">
        <f>10+8+1</f>
        <v>19</v>
      </c>
      <c r="S12" s="5">
        <f t="shared" si="14"/>
        <v>56</v>
      </c>
      <c r="T12" s="6">
        <f t="shared" si="4"/>
        <v>0.51351351351351349</v>
      </c>
      <c r="U12" s="170">
        <f t="shared" si="5"/>
        <v>1.1527854384997243</v>
      </c>
      <c r="W12" s="16">
        <v>3</v>
      </c>
      <c r="X12" s="5">
        <f>26+22+49</f>
        <v>97</v>
      </c>
      <c r="Y12" s="5">
        <f>20+10+29</f>
        <v>59</v>
      </c>
      <c r="Z12" s="5">
        <f t="shared" si="15"/>
        <v>156</v>
      </c>
      <c r="AA12" s="6">
        <f t="shared" ref="AA12:AA16" si="21">Y12/X12</f>
        <v>0.60824742268041232</v>
      </c>
      <c r="AB12" s="5">
        <f>64+15</f>
        <v>79</v>
      </c>
      <c r="AC12" s="5">
        <f>29+7</f>
        <v>36</v>
      </c>
      <c r="AD12" s="5">
        <f t="shared" si="16"/>
        <v>115</v>
      </c>
      <c r="AE12" s="12">
        <f t="shared" si="17"/>
        <v>0.45569620253164556</v>
      </c>
      <c r="AF12" s="166">
        <f t="shared" si="7"/>
        <v>0.74919545161982415</v>
      </c>
      <c r="AH12" s="22">
        <f>COUNT(AH4:AH11)</f>
        <v>8</v>
      </c>
      <c r="AI12" s="25">
        <f>SUM(AI4:AI11)</f>
        <v>599</v>
      </c>
      <c r="AJ12" s="25">
        <f>SUM(AJ4:AJ11)</f>
        <v>204</v>
      </c>
      <c r="AK12" s="25"/>
      <c r="AL12" s="24">
        <f>AVERAGE(AL4:AL11)</f>
        <v>0.34120092807946034</v>
      </c>
      <c r="AM12" s="25">
        <f>SUM(AM4:AM11)</f>
        <v>540</v>
      </c>
      <c r="AN12" s="25">
        <f>SUM(AN4:AN11)</f>
        <v>9</v>
      </c>
      <c r="AO12" s="25"/>
      <c r="AP12" s="24">
        <f>AVERAGE(AP4:AP11)</f>
        <v>2.2201682316118933E-2</v>
      </c>
      <c r="AQ12" s="24">
        <f>AVERAGE(AQ4:AQ11)</f>
        <v>9.5907310650041225E-2</v>
      </c>
    </row>
    <row r="13" spans="1:43" ht="15.75" thickBot="1" x14ac:dyDescent="0.3">
      <c r="A13" s="5">
        <v>9</v>
      </c>
      <c r="B13" s="5">
        <f>23+16+38+21</f>
        <v>98</v>
      </c>
      <c r="C13" s="5">
        <f>4+29+8+15</f>
        <v>56</v>
      </c>
      <c r="D13" s="5">
        <f t="shared" si="11"/>
        <v>154</v>
      </c>
      <c r="E13" s="6">
        <f t="shared" si="0"/>
        <v>0.5714285714285714</v>
      </c>
      <c r="F13" s="5">
        <f>24+15</f>
        <v>39</v>
      </c>
      <c r="G13" s="5">
        <f>9+5</f>
        <v>14</v>
      </c>
      <c r="H13" s="5">
        <f t="shared" si="12"/>
        <v>53</v>
      </c>
      <c r="I13" s="6">
        <f t="shared" si="1"/>
        <v>0.35897435897435898</v>
      </c>
      <c r="J13" s="166">
        <f t="shared" si="2"/>
        <v>0.62820512820512819</v>
      </c>
      <c r="L13" s="67">
        <v>5</v>
      </c>
      <c r="M13" s="5">
        <f>32+36+22</f>
        <v>90</v>
      </c>
      <c r="N13" s="5">
        <f>24+6+8</f>
        <v>38</v>
      </c>
      <c r="O13" s="5">
        <f t="shared" si="13"/>
        <v>128</v>
      </c>
      <c r="P13" s="6">
        <f t="shared" si="3"/>
        <v>0.42222222222222222</v>
      </c>
      <c r="Q13" s="5">
        <f>61+10</f>
        <v>71</v>
      </c>
      <c r="R13" s="5">
        <f>33</f>
        <v>33</v>
      </c>
      <c r="S13" s="5">
        <f t="shared" si="14"/>
        <v>104</v>
      </c>
      <c r="T13" s="6">
        <f t="shared" si="4"/>
        <v>0.46478873239436619</v>
      </c>
      <c r="U13" s="170">
        <f t="shared" si="5"/>
        <v>1.100815418828762</v>
      </c>
      <c r="W13" s="17">
        <v>4</v>
      </c>
      <c r="X13" s="5">
        <f>11+23+23</f>
        <v>57</v>
      </c>
      <c r="Y13" s="5">
        <f>9+13+3</f>
        <v>25</v>
      </c>
      <c r="Z13" s="5">
        <f t="shared" si="15"/>
        <v>82</v>
      </c>
      <c r="AA13" s="6">
        <f t="shared" si="21"/>
        <v>0.43859649122807015</v>
      </c>
      <c r="AB13" s="5">
        <f>25</f>
        <v>25</v>
      </c>
      <c r="AC13" s="5">
        <f>6</f>
        <v>6</v>
      </c>
      <c r="AD13" s="5">
        <f t="shared" si="16"/>
        <v>31</v>
      </c>
      <c r="AE13" s="12">
        <f t="shared" si="17"/>
        <v>0.24</v>
      </c>
      <c r="AF13" s="166">
        <f t="shared" si="7"/>
        <v>0.54720000000000002</v>
      </c>
      <c r="AQ13" s="24">
        <f>STDEV(AQ4:AQ11)</f>
        <v>0.14525619934442241</v>
      </c>
    </row>
    <row r="14" spans="1:43" ht="15.75" thickBot="1" x14ac:dyDescent="0.3">
      <c r="A14" s="5">
        <v>7</v>
      </c>
      <c r="B14" s="5">
        <f>34+18+18+24</f>
        <v>94</v>
      </c>
      <c r="C14" s="5">
        <f>3+14+14+17</f>
        <v>48</v>
      </c>
      <c r="D14" s="5">
        <f t="shared" si="11"/>
        <v>142</v>
      </c>
      <c r="E14" s="6">
        <f t="shared" si="0"/>
        <v>0.51063829787234039</v>
      </c>
      <c r="F14" s="5">
        <f>27+8</f>
        <v>35</v>
      </c>
      <c r="G14" s="5">
        <f>4+7</f>
        <v>11</v>
      </c>
      <c r="H14" s="5">
        <f t="shared" si="12"/>
        <v>46</v>
      </c>
      <c r="I14" s="6">
        <f t="shared" si="1"/>
        <v>0.31428571428571428</v>
      </c>
      <c r="J14" s="166">
        <f t="shared" si="2"/>
        <v>0.61547619047619051</v>
      </c>
      <c r="L14" s="7">
        <v>3</v>
      </c>
      <c r="M14" s="5">
        <f>34+20+14</f>
        <v>68</v>
      </c>
      <c r="N14" s="5">
        <f>13+9+21</f>
        <v>43</v>
      </c>
      <c r="O14" s="5">
        <f t="shared" si="13"/>
        <v>111</v>
      </c>
      <c r="P14" s="6">
        <f t="shared" si="3"/>
        <v>0.63235294117647056</v>
      </c>
      <c r="Q14" s="5">
        <f>31+39+2</f>
        <v>72</v>
      </c>
      <c r="R14" s="5">
        <f>16+30+4</f>
        <v>50</v>
      </c>
      <c r="S14" s="5">
        <f t="shared" si="14"/>
        <v>122</v>
      </c>
      <c r="T14" s="6">
        <f t="shared" si="4"/>
        <v>0.69444444444444442</v>
      </c>
      <c r="U14" s="170">
        <f t="shared" si="5"/>
        <v>1.0981912144702843</v>
      </c>
      <c r="W14" s="17">
        <v>5</v>
      </c>
      <c r="X14" s="5">
        <f>19+25+10</f>
        <v>54</v>
      </c>
      <c r="Y14" s="5">
        <f>7+10+4</f>
        <v>21</v>
      </c>
      <c r="Z14" s="5">
        <f t="shared" si="15"/>
        <v>75</v>
      </c>
      <c r="AA14" s="6">
        <f t="shared" si="21"/>
        <v>0.3888888888888889</v>
      </c>
      <c r="AB14" s="5">
        <f>46</f>
        <v>46</v>
      </c>
      <c r="AC14" s="5">
        <f>11</f>
        <v>11</v>
      </c>
      <c r="AD14" s="5">
        <f t="shared" si="16"/>
        <v>57</v>
      </c>
      <c r="AE14" s="12">
        <f t="shared" si="17"/>
        <v>0.2391304347826087</v>
      </c>
      <c r="AF14" s="166">
        <f t="shared" si="7"/>
        <v>0.6149068322981367</v>
      </c>
      <c r="AQ14" s="24">
        <f>AQ13/SQRT(AH12)</f>
        <v>5.1355821782913008E-2</v>
      </c>
    </row>
    <row r="15" spans="1:43" x14ac:dyDescent="0.25">
      <c r="A15" s="5">
        <v>6</v>
      </c>
      <c r="B15" s="5">
        <f>24+16+39</f>
        <v>79</v>
      </c>
      <c r="C15" s="5">
        <f>19+13+27</f>
        <v>59</v>
      </c>
      <c r="D15" s="5">
        <f t="shared" si="11"/>
        <v>138</v>
      </c>
      <c r="E15" s="6">
        <f t="shared" si="0"/>
        <v>0.74683544303797467</v>
      </c>
      <c r="F15" s="5">
        <f>23</f>
        <v>23</v>
      </c>
      <c r="G15" s="5">
        <f>10</f>
        <v>10</v>
      </c>
      <c r="H15" s="5">
        <f t="shared" si="12"/>
        <v>33</v>
      </c>
      <c r="I15" s="6">
        <f t="shared" si="1"/>
        <v>0.43478260869565216</v>
      </c>
      <c r="J15" s="166">
        <f t="shared" si="2"/>
        <v>0.58216654384672073</v>
      </c>
      <c r="L15" s="67">
        <v>2</v>
      </c>
      <c r="M15" s="5">
        <f>34+33+22</f>
        <v>89</v>
      </c>
      <c r="N15" s="5">
        <f>25+15+20</f>
        <v>60</v>
      </c>
      <c r="O15" s="5">
        <f t="shared" si="13"/>
        <v>149</v>
      </c>
      <c r="P15" s="6">
        <f t="shared" si="3"/>
        <v>0.6741573033707865</v>
      </c>
      <c r="Q15" s="5">
        <f>24+16</f>
        <v>40</v>
      </c>
      <c r="R15" s="5">
        <f>20+9</f>
        <v>29</v>
      </c>
      <c r="S15" s="5">
        <f t="shared" si="14"/>
        <v>69</v>
      </c>
      <c r="T15" s="6">
        <f t="shared" si="4"/>
        <v>0.72499999999999998</v>
      </c>
      <c r="U15" s="170">
        <f t="shared" si="5"/>
        <v>1.0754166666666667</v>
      </c>
      <c r="W15" s="17">
        <v>6</v>
      </c>
      <c r="X15" s="5">
        <f>40+11+9</f>
        <v>60</v>
      </c>
      <c r="Y15" s="5">
        <f>21+10+7</f>
        <v>38</v>
      </c>
      <c r="Z15" s="5">
        <f t="shared" si="15"/>
        <v>98</v>
      </c>
      <c r="AA15" s="6">
        <f t="shared" si="21"/>
        <v>0.6333333333333333</v>
      </c>
      <c r="AB15" s="5">
        <f>68+6</f>
        <v>74</v>
      </c>
      <c r="AC15" s="5">
        <f>29+2</f>
        <v>31</v>
      </c>
      <c r="AD15" s="5">
        <f t="shared" si="16"/>
        <v>105</v>
      </c>
      <c r="AE15" s="12">
        <f t="shared" si="17"/>
        <v>0.41891891891891891</v>
      </c>
      <c r="AF15" s="166">
        <f t="shared" si="7"/>
        <v>0.66145092460881938</v>
      </c>
    </row>
    <row r="16" spans="1:43" x14ac:dyDescent="0.25">
      <c r="A16" s="5">
        <v>9</v>
      </c>
      <c r="B16" s="5">
        <f>17+8+46</f>
        <v>71</v>
      </c>
      <c r="C16" s="5">
        <f>12+14+22</f>
        <v>48</v>
      </c>
      <c r="D16" s="5">
        <f t="shared" si="11"/>
        <v>119</v>
      </c>
      <c r="E16" s="6">
        <f t="shared" si="0"/>
        <v>0.676056338028169</v>
      </c>
      <c r="F16" s="5">
        <f>31+21</f>
        <v>52</v>
      </c>
      <c r="G16" s="5">
        <f>20</f>
        <v>20</v>
      </c>
      <c r="H16" s="5">
        <f t="shared" si="12"/>
        <v>72</v>
      </c>
      <c r="I16" s="6">
        <f t="shared" si="1"/>
        <v>0.38461538461538464</v>
      </c>
      <c r="J16" s="166">
        <f t="shared" si="2"/>
        <v>0.5689102564102565</v>
      </c>
      <c r="L16" s="67">
        <v>7</v>
      </c>
      <c r="M16" s="5">
        <f>20+39+35</f>
        <v>94</v>
      </c>
      <c r="N16" s="5">
        <f>7+27+13</f>
        <v>47</v>
      </c>
      <c r="O16" s="5">
        <f t="shared" si="13"/>
        <v>141</v>
      </c>
      <c r="P16" s="6">
        <f t="shared" si="3"/>
        <v>0.5</v>
      </c>
      <c r="Q16" s="5">
        <f>19+28+26</f>
        <v>73</v>
      </c>
      <c r="R16" s="5">
        <f>11+15+11</f>
        <v>37</v>
      </c>
      <c r="S16" s="5">
        <f t="shared" si="14"/>
        <v>110</v>
      </c>
      <c r="T16" s="6">
        <f t="shared" si="4"/>
        <v>0.50684931506849318</v>
      </c>
      <c r="U16" s="170">
        <f t="shared" si="5"/>
        <v>1.0136986301369864</v>
      </c>
      <c r="W16" s="17">
        <v>7</v>
      </c>
      <c r="X16" s="5">
        <f>40+28+35</f>
        <v>103</v>
      </c>
      <c r="Y16" s="5">
        <f>15+5+25</f>
        <v>45</v>
      </c>
      <c r="Z16" s="5">
        <f t="shared" si="15"/>
        <v>148</v>
      </c>
      <c r="AA16" s="6">
        <f t="shared" si="21"/>
        <v>0.43689320388349512</v>
      </c>
      <c r="AB16" s="5">
        <f>65+30</f>
        <v>95</v>
      </c>
      <c r="AC16" s="5">
        <f>19+5</f>
        <v>24</v>
      </c>
      <c r="AD16" s="5">
        <f t="shared" si="16"/>
        <v>119</v>
      </c>
      <c r="AE16" s="12">
        <f t="shared" si="17"/>
        <v>0.25263157894736843</v>
      </c>
      <c r="AF16" s="166">
        <f t="shared" si="7"/>
        <v>0.57824561403508778</v>
      </c>
    </row>
    <row r="17" spans="1:32" x14ac:dyDescent="0.25">
      <c r="A17" s="5">
        <v>10</v>
      </c>
      <c r="B17" s="5">
        <f>20+15+9+28</f>
        <v>72</v>
      </c>
      <c r="C17" s="5">
        <f>6+12+21+18</f>
        <v>57</v>
      </c>
      <c r="D17" s="5">
        <f t="shared" si="11"/>
        <v>129</v>
      </c>
      <c r="E17" s="6">
        <f t="shared" si="0"/>
        <v>0.79166666666666663</v>
      </c>
      <c r="F17" s="5">
        <f>23+26+20</f>
        <v>69</v>
      </c>
      <c r="G17" s="5">
        <f>8+14+3</f>
        <v>25</v>
      </c>
      <c r="H17" s="5">
        <f t="shared" si="12"/>
        <v>94</v>
      </c>
      <c r="I17" s="6">
        <f t="shared" si="1"/>
        <v>0.36231884057971014</v>
      </c>
      <c r="J17" s="166">
        <f t="shared" si="2"/>
        <v>0.45766590389016021</v>
      </c>
      <c r="L17" s="67">
        <v>4</v>
      </c>
      <c r="M17" s="5">
        <f>13+28+41</f>
        <v>82</v>
      </c>
      <c r="N17" s="5">
        <f>14+12+12</f>
        <v>38</v>
      </c>
      <c r="O17" s="5">
        <f t="shared" si="13"/>
        <v>120</v>
      </c>
      <c r="P17" s="6">
        <f t="shared" si="3"/>
        <v>0.46341463414634149</v>
      </c>
      <c r="Q17" s="5">
        <f>39+42+8</f>
        <v>89</v>
      </c>
      <c r="R17" s="5">
        <f>21+12+4</f>
        <v>37</v>
      </c>
      <c r="S17" s="5">
        <f t="shared" si="14"/>
        <v>126</v>
      </c>
      <c r="T17" s="6">
        <f t="shared" si="4"/>
        <v>0.4157303370786517</v>
      </c>
      <c r="U17" s="170">
        <f t="shared" si="5"/>
        <v>0.89710230632761678</v>
      </c>
      <c r="W17" s="17">
        <v>8</v>
      </c>
      <c r="X17" s="5">
        <f>22+19+26</f>
        <v>67</v>
      </c>
      <c r="Y17" s="5">
        <f>10+14+18</f>
        <v>42</v>
      </c>
      <c r="Z17" s="5">
        <f t="shared" si="15"/>
        <v>109</v>
      </c>
      <c r="AA17" s="6">
        <f>Y17/X17</f>
        <v>0.62686567164179108</v>
      </c>
      <c r="AB17" s="5">
        <f>80+20</f>
        <v>100</v>
      </c>
      <c r="AC17" s="5">
        <f>16+4</f>
        <v>20</v>
      </c>
      <c r="AD17" s="5">
        <f t="shared" si="16"/>
        <v>120</v>
      </c>
      <c r="AE17" s="12">
        <f t="shared" si="17"/>
        <v>0.2</v>
      </c>
      <c r="AF17" s="167">
        <f t="shared" si="7"/>
        <v>0.31904761904761902</v>
      </c>
    </row>
    <row r="18" spans="1:32" ht="15.75" thickBot="1" x14ac:dyDescent="0.3">
      <c r="A18" s="5">
        <v>8</v>
      </c>
      <c r="B18" s="5">
        <f>30+8+36</f>
        <v>74</v>
      </c>
      <c r="C18" s="5">
        <f>4+10+29</f>
        <v>43</v>
      </c>
      <c r="D18" s="5">
        <f t="shared" si="11"/>
        <v>117</v>
      </c>
      <c r="E18" s="6">
        <f t="shared" si="0"/>
        <v>0.58108108108108103</v>
      </c>
      <c r="F18" s="5">
        <f>58+20</f>
        <v>78</v>
      </c>
      <c r="G18" s="5">
        <f>12+6</f>
        <v>18</v>
      </c>
      <c r="H18" s="5">
        <f t="shared" si="12"/>
        <v>96</v>
      </c>
      <c r="I18" s="6">
        <f t="shared" si="1"/>
        <v>0.23076923076923078</v>
      </c>
      <c r="J18" s="166">
        <f t="shared" si="2"/>
        <v>0.39713774597495533</v>
      </c>
      <c r="L18" s="67">
        <v>2</v>
      </c>
      <c r="M18" s="5">
        <f>37+5+1</f>
        <v>43</v>
      </c>
      <c r="N18" s="5">
        <f>22</f>
        <v>22</v>
      </c>
      <c r="O18" s="5">
        <f t="shared" si="13"/>
        <v>65</v>
      </c>
      <c r="P18" s="6">
        <f t="shared" si="3"/>
        <v>0.51162790697674421</v>
      </c>
      <c r="Q18" s="5">
        <f>40+65+1</f>
        <v>106</v>
      </c>
      <c r="R18" s="5">
        <f>22+25</f>
        <v>47</v>
      </c>
      <c r="S18" s="5">
        <f t="shared" si="14"/>
        <v>153</v>
      </c>
      <c r="T18" s="6">
        <f t="shared" si="4"/>
        <v>0.44339622641509435</v>
      </c>
      <c r="U18" s="178">
        <f t="shared" si="5"/>
        <v>0.86663807890222988</v>
      </c>
      <c r="W18" s="31">
        <v>10</v>
      </c>
      <c r="X18" s="13">
        <f>16+6</f>
        <v>22</v>
      </c>
      <c r="Y18" s="13">
        <f>11</f>
        <v>11</v>
      </c>
      <c r="Z18" s="5">
        <f t="shared" si="15"/>
        <v>33</v>
      </c>
      <c r="AA18" s="14">
        <f>Y18/X18</f>
        <v>0.5</v>
      </c>
      <c r="AB18" s="13">
        <f>28</f>
        <v>28</v>
      </c>
      <c r="AC18" s="13">
        <f>10</f>
        <v>10</v>
      </c>
      <c r="AD18" s="5">
        <f t="shared" si="16"/>
        <v>38</v>
      </c>
      <c r="AE18" s="15">
        <f t="shared" si="17"/>
        <v>0.35714285714285715</v>
      </c>
      <c r="AF18" s="166">
        <f t="shared" si="7"/>
        <v>0.7142857142857143</v>
      </c>
    </row>
    <row r="19" spans="1:32" ht="15.75" thickBot="1" x14ac:dyDescent="0.3">
      <c r="A19" s="22">
        <f>COUNT(A4:A18)</f>
        <v>15</v>
      </c>
      <c r="B19" s="25">
        <f>SUM(B4:B18)</f>
        <v>1129</v>
      </c>
      <c r="C19" s="25">
        <f>SUM(C4:C18)</f>
        <v>647</v>
      </c>
      <c r="D19" s="25">
        <f>SUM(B19:C19)</f>
        <v>1776</v>
      </c>
      <c r="E19" s="24">
        <f>AVERAGE(E4:E18)</f>
        <v>0.57896457768952569</v>
      </c>
      <c r="F19" s="23">
        <f>SUM(F4:F18)</f>
        <v>934</v>
      </c>
      <c r="G19" s="23">
        <f>SUM(G4:G18)</f>
        <v>404</v>
      </c>
      <c r="H19" s="25">
        <f>SUM(F19:G19)</f>
        <v>1338</v>
      </c>
      <c r="I19" s="24">
        <f>AVERAGE(I4:I18)</f>
        <v>0.4290659206086927</v>
      </c>
      <c r="J19" s="24">
        <f>AVERAGE(J4:J18)</f>
        <v>0.7547659792286745</v>
      </c>
      <c r="L19" s="67">
        <v>7</v>
      </c>
      <c r="M19" s="5">
        <f>41+18+37</f>
        <v>96</v>
      </c>
      <c r="N19" s="5">
        <f>31+4+23</f>
        <v>58</v>
      </c>
      <c r="O19" s="5">
        <f t="shared" si="13"/>
        <v>154</v>
      </c>
      <c r="P19" s="6">
        <f t="shared" si="3"/>
        <v>0.60416666666666663</v>
      </c>
      <c r="Q19" s="5">
        <f>34+57+7</f>
        <v>98</v>
      </c>
      <c r="R19" s="5">
        <f>13+31+7</f>
        <v>51</v>
      </c>
      <c r="S19" s="5">
        <f t="shared" si="14"/>
        <v>149</v>
      </c>
      <c r="T19" s="6">
        <f t="shared" si="4"/>
        <v>0.52040816326530615</v>
      </c>
      <c r="U19" s="170">
        <f t="shared" si="5"/>
        <v>0.86136523574947232</v>
      </c>
      <c r="W19" s="22">
        <f>COUNT(W4:W18)</f>
        <v>15</v>
      </c>
      <c r="X19" s="25">
        <f>SUM(X4:X18)</f>
        <v>839</v>
      </c>
      <c r="Y19" s="25">
        <f>SUM(Y4:Y18)</f>
        <v>428</v>
      </c>
      <c r="Z19" s="25"/>
      <c r="AA19" s="24">
        <f>AVERAGE(AA4:AA18)</f>
        <v>0.49299201704440265</v>
      </c>
      <c r="AB19" s="25">
        <f>SUM(AB4:AB18)</f>
        <v>965</v>
      </c>
      <c r="AC19" s="25">
        <f>SUM(AC4:AC18)</f>
        <v>239</v>
      </c>
      <c r="AD19" s="25"/>
      <c r="AE19" s="24">
        <f>AVERAGE(AE4:AE18)</f>
        <v>0.24477213176480908</v>
      </c>
      <c r="AF19" s="24">
        <f>AVERAGE(AF4:AF18)</f>
        <v>0.52201241777753959</v>
      </c>
    </row>
    <row r="20" spans="1:32" ht="15.75" thickBot="1" x14ac:dyDescent="0.3">
      <c r="D20" s="22">
        <f>AVERAGE(D4:D18)</f>
        <v>118.4</v>
      </c>
      <c r="H20" s="22">
        <f>AVERAGE(H4:H18)</f>
        <v>89.2</v>
      </c>
      <c r="J20" s="24">
        <f>STDEV(J4:J18)</f>
        <v>0.26121788340498531</v>
      </c>
      <c r="L20" s="67">
        <v>2</v>
      </c>
      <c r="M20" s="5">
        <f>22+21+42</f>
        <v>85</v>
      </c>
      <c r="N20" s="5">
        <f>14+17+25</f>
        <v>56</v>
      </c>
      <c r="O20" s="5">
        <f t="shared" si="13"/>
        <v>141</v>
      </c>
      <c r="P20" s="6">
        <f t="shared" si="3"/>
        <v>0.6588235294117647</v>
      </c>
      <c r="Q20" s="5">
        <f>20+34+25</f>
        <v>79</v>
      </c>
      <c r="R20" s="5">
        <f>17+16+10</f>
        <v>43</v>
      </c>
      <c r="S20" s="5">
        <f t="shared" si="14"/>
        <v>122</v>
      </c>
      <c r="T20" s="6">
        <f t="shared" si="4"/>
        <v>0.54430379746835444</v>
      </c>
      <c r="U20" s="170">
        <f t="shared" si="5"/>
        <v>0.8261754068716094</v>
      </c>
      <c r="AF20" s="24">
        <f>STDEV(AF4:AF18)</f>
        <v>0.26829481361290253</v>
      </c>
    </row>
    <row r="21" spans="1:32" ht="15.75" thickBot="1" x14ac:dyDescent="0.3">
      <c r="D21" s="22">
        <f>STDEV(D4:D18)</f>
        <v>24.421302176583467</v>
      </c>
      <c r="H21" s="22">
        <f>STDEV(H4:H18)</f>
        <v>34.34322557444397</v>
      </c>
      <c r="J21" s="24">
        <f>J20/SQRT(A19)</f>
        <v>6.7446167477270585E-2</v>
      </c>
      <c r="L21" s="67">
        <v>1</v>
      </c>
      <c r="M21" s="5">
        <f>45+7+10</f>
        <v>62</v>
      </c>
      <c r="N21" s="5">
        <f>23+3+9</f>
        <v>35</v>
      </c>
      <c r="O21" s="5">
        <f t="shared" si="13"/>
        <v>97</v>
      </c>
      <c r="P21" s="6">
        <f t="shared" si="3"/>
        <v>0.56451612903225812</v>
      </c>
      <c r="Q21" s="5">
        <f>45+49+7</f>
        <v>101</v>
      </c>
      <c r="R21" s="5">
        <f>23+24</f>
        <v>47</v>
      </c>
      <c r="S21" s="5">
        <f t="shared" si="14"/>
        <v>148</v>
      </c>
      <c r="T21" s="6">
        <f t="shared" si="4"/>
        <v>0.46534653465346537</v>
      </c>
      <c r="U21" s="170">
        <f t="shared" si="5"/>
        <v>0.82432814710042435</v>
      </c>
      <c r="AF21" s="24">
        <f>AF20/SQRT(W19)</f>
        <v>6.927342299977296E-2</v>
      </c>
    </row>
    <row r="22" spans="1:32" x14ac:dyDescent="0.25">
      <c r="L22" s="67">
        <v>9</v>
      </c>
      <c r="M22" s="5">
        <f>14+58+32</f>
        <v>104</v>
      </c>
      <c r="N22" s="5">
        <f>17+29+19</f>
        <v>65</v>
      </c>
      <c r="O22" s="5">
        <f t="shared" si="13"/>
        <v>169</v>
      </c>
      <c r="P22" s="6">
        <f t="shared" si="3"/>
        <v>0.625</v>
      </c>
      <c r="Q22" s="5">
        <f>43+34+7</f>
        <v>84</v>
      </c>
      <c r="R22" s="5">
        <f>18+20+4</f>
        <v>42</v>
      </c>
      <c r="S22" s="5">
        <f t="shared" si="14"/>
        <v>126</v>
      </c>
      <c r="T22" s="6">
        <f t="shared" si="4"/>
        <v>0.5</v>
      </c>
      <c r="U22" s="170">
        <f t="shared" si="5"/>
        <v>0.8</v>
      </c>
    </row>
    <row r="23" spans="1:32" x14ac:dyDescent="0.25">
      <c r="L23" s="67">
        <v>8</v>
      </c>
      <c r="M23" s="5">
        <f>16+49+23</f>
        <v>88</v>
      </c>
      <c r="N23" s="5">
        <f>15+25+21</f>
        <v>61</v>
      </c>
      <c r="O23" s="5">
        <f t="shared" si="13"/>
        <v>149</v>
      </c>
      <c r="P23" s="6">
        <f t="shared" si="3"/>
        <v>0.69318181818181823</v>
      </c>
      <c r="Q23" s="5">
        <f>9+37+2</f>
        <v>48</v>
      </c>
      <c r="R23" s="5">
        <f>12+14</f>
        <v>26</v>
      </c>
      <c r="S23" s="5">
        <f t="shared" si="14"/>
        <v>74</v>
      </c>
      <c r="T23" s="6">
        <f t="shared" si="4"/>
        <v>0.54166666666666663</v>
      </c>
      <c r="U23" s="170">
        <f t="shared" si="5"/>
        <v>0.78142076502732227</v>
      </c>
    </row>
    <row r="24" spans="1:32" x14ac:dyDescent="0.25">
      <c r="L24" s="67">
        <v>8</v>
      </c>
      <c r="M24" s="5">
        <f>35+16+35</f>
        <v>86</v>
      </c>
      <c r="N24" s="5">
        <f>36+13+29</f>
        <v>78</v>
      </c>
      <c r="O24" s="5">
        <f t="shared" si="13"/>
        <v>164</v>
      </c>
      <c r="P24" s="6">
        <f t="shared" si="3"/>
        <v>0.90697674418604646</v>
      </c>
      <c r="Q24" s="5">
        <f>34+39+13</f>
        <v>86</v>
      </c>
      <c r="R24" s="5">
        <f>24+24+11</f>
        <v>59</v>
      </c>
      <c r="S24" s="5">
        <f t="shared" si="14"/>
        <v>145</v>
      </c>
      <c r="T24" s="6">
        <f t="shared" si="4"/>
        <v>0.68604651162790697</v>
      </c>
      <c r="U24" s="170">
        <f t="shared" si="5"/>
        <v>0.7564102564102565</v>
      </c>
    </row>
    <row r="25" spans="1:32" x14ac:dyDescent="0.25">
      <c r="L25" s="67">
        <v>6</v>
      </c>
      <c r="M25" s="5">
        <f>22+28+38</f>
        <v>88</v>
      </c>
      <c r="N25" s="5">
        <f>23+17+27</f>
        <v>67</v>
      </c>
      <c r="O25" s="5">
        <f t="shared" si="13"/>
        <v>155</v>
      </c>
      <c r="P25" s="6">
        <f t="shared" si="3"/>
        <v>0.76136363636363635</v>
      </c>
      <c r="Q25" s="5">
        <f>32+42+8</f>
        <v>82</v>
      </c>
      <c r="R25" s="5">
        <f>10+20+5</f>
        <v>35</v>
      </c>
      <c r="S25" s="5">
        <f t="shared" si="14"/>
        <v>117</v>
      </c>
      <c r="T25" s="6">
        <f t="shared" si="4"/>
        <v>0.42682926829268292</v>
      </c>
      <c r="U25" s="178">
        <f t="shared" si="5"/>
        <v>0.56061157626501634</v>
      </c>
    </row>
    <row r="26" spans="1:32" x14ac:dyDescent="0.25">
      <c r="L26" s="67">
        <v>5</v>
      </c>
      <c r="M26" s="5">
        <f>41+40+20</f>
        <v>101</v>
      </c>
      <c r="N26" s="5">
        <f>25+34+12</f>
        <v>71</v>
      </c>
      <c r="O26" s="5">
        <f t="shared" si="13"/>
        <v>172</v>
      </c>
      <c r="P26" s="6">
        <f t="shared" si="3"/>
        <v>0.70297029702970293</v>
      </c>
      <c r="Q26" s="5">
        <f>41+42+7</f>
        <v>90</v>
      </c>
      <c r="R26" s="5">
        <f>17+16+2</f>
        <v>35</v>
      </c>
      <c r="S26" s="5">
        <f t="shared" si="14"/>
        <v>125</v>
      </c>
      <c r="T26" s="6">
        <f t="shared" si="4"/>
        <v>0.3888888888888889</v>
      </c>
      <c r="U26" s="170">
        <f t="shared" si="5"/>
        <v>0.55320813771517996</v>
      </c>
    </row>
    <row r="27" spans="1:32" x14ac:dyDescent="0.25">
      <c r="L27" s="67">
        <v>7</v>
      </c>
      <c r="M27" s="5">
        <f>18+18+21</f>
        <v>57</v>
      </c>
      <c r="N27" s="5">
        <f>21+14+16</f>
        <v>51</v>
      </c>
      <c r="O27" s="5">
        <f t="shared" si="13"/>
        <v>108</v>
      </c>
      <c r="P27" s="6">
        <f t="shared" si="3"/>
        <v>0.89473684210526316</v>
      </c>
      <c r="Q27" s="5">
        <f>70+23</f>
        <v>93</v>
      </c>
      <c r="R27" s="5">
        <f>35+11</f>
        <v>46</v>
      </c>
      <c r="S27" s="5">
        <f t="shared" si="14"/>
        <v>139</v>
      </c>
      <c r="T27" s="6">
        <f t="shared" si="4"/>
        <v>0.4946236559139785</v>
      </c>
      <c r="U27" s="170">
        <f t="shared" si="5"/>
        <v>0.55281467425679953</v>
      </c>
    </row>
    <row r="28" spans="1:32" ht="15.75" thickBot="1" x14ac:dyDescent="0.3">
      <c r="L28" s="67">
        <v>10</v>
      </c>
      <c r="M28" s="5">
        <f>18+37+37</f>
        <v>92</v>
      </c>
      <c r="N28" s="5">
        <f>21+18+15</f>
        <v>54</v>
      </c>
      <c r="O28" s="5">
        <f t="shared" si="13"/>
        <v>146</v>
      </c>
      <c r="P28" s="6">
        <f t="shared" si="3"/>
        <v>0.58695652173913049</v>
      </c>
      <c r="Q28" s="5">
        <f>4+17+1</f>
        <v>22</v>
      </c>
      <c r="R28" s="5">
        <f>7</f>
        <v>7</v>
      </c>
      <c r="S28" s="5">
        <f t="shared" si="14"/>
        <v>29</v>
      </c>
      <c r="T28" s="6">
        <f t="shared" si="4"/>
        <v>0.31818181818181818</v>
      </c>
      <c r="U28" s="170">
        <f t="shared" si="5"/>
        <v>0.54208754208754206</v>
      </c>
    </row>
    <row r="29" spans="1:32" ht="15.75" thickBot="1" x14ac:dyDescent="0.3">
      <c r="L29" s="22">
        <f>COUNT(L4:L28)</f>
        <v>25</v>
      </c>
      <c r="M29" s="25">
        <f>SUM(M4:M28)</f>
        <v>2195</v>
      </c>
      <c r="N29" s="25">
        <f>SUM(N4:N28)</f>
        <v>1245</v>
      </c>
      <c r="O29" s="25"/>
      <c r="P29" s="24">
        <f>AVERAGE(P4:P28)</f>
        <v>0.57486562435422439</v>
      </c>
      <c r="Q29" s="25">
        <f>SUM(Q4:Q28)</f>
        <v>1780</v>
      </c>
      <c r="R29" s="25">
        <f>SUM(R4:R28)</f>
        <v>981</v>
      </c>
      <c r="S29" s="25"/>
      <c r="T29" s="24">
        <f>AVERAGE(T4:T28)</f>
        <v>0.56202868954100604</v>
      </c>
      <c r="U29" s="24">
        <f>AVERAGE(U4:U28)</f>
        <v>1.0432691459019348</v>
      </c>
    </row>
    <row r="30" spans="1:32" ht="15.75" thickBot="1" x14ac:dyDescent="0.3">
      <c r="U30" s="24">
        <f>STDEV(U4:U28)</f>
        <v>0.37554035159010624</v>
      </c>
    </row>
    <row r="31" spans="1:32" ht="15.75" thickBot="1" x14ac:dyDescent="0.3">
      <c r="U31" s="24">
        <f>U30/SQRT(L29)</f>
        <v>7.5108070318021247E-2</v>
      </c>
    </row>
    <row r="33" spans="1:43" ht="15.75" thickBot="1" x14ac:dyDescent="0.3"/>
    <row r="34" spans="1:43" x14ac:dyDescent="0.25">
      <c r="A34" s="207" t="s">
        <v>3</v>
      </c>
      <c r="B34" s="209" t="s">
        <v>13</v>
      </c>
      <c r="C34" s="179"/>
      <c r="D34" s="179"/>
      <c r="E34" s="180"/>
      <c r="F34" s="181" t="s">
        <v>14</v>
      </c>
      <c r="G34" s="182"/>
      <c r="H34" s="182"/>
      <c r="I34" s="183"/>
      <c r="J34" s="186" t="s">
        <v>7</v>
      </c>
      <c r="L34" s="207" t="s">
        <v>3</v>
      </c>
      <c r="M34" s="209" t="s">
        <v>13</v>
      </c>
      <c r="N34" s="179"/>
      <c r="O34" s="179"/>
      <c r="P34" s="180"/>
      <c r="Q34" s="181" t="s">
        <v>14</v>
      </c>
      <c r="R34" s="182"/>
      <c r="S34" s="182"/>
      <c r="T34" s="183"/>
      <c r="U34" s="186" t="s">
        <v>7</v>
      </c>
      <c r="W34" s="207" t="s">
        <v>3</v>
      </c>
      <c r="X34" s="209" t="s">
        <v>13</v>
      </c>
      <c r="Y34" s="179"/>
      <c r="Z34" s="179"/>
      <c r="AA34" s="180"/>
      <c r="AB34" s="181" t="s">
        <v>14</v>
      </c>
      <c r="AC34" s="182"/>
      <c r="AD34" s="182"/>
      <c r="AE34" s="183"/>
      <c r="AF34" s="186" t="s">
        <v>7</v>
      </c>
      <c r="AH34" s="207" t="s">
        <v>3</v>
      </c>
      <c r="AI34" s="209" t="s">
        <v>13</v>
      </c>
      <c r="AJ34" s="179"/>
      <c r="AK34" s="179"/>
      <c r="AL34" s="180"/>
      <c r="AM34" s="181" t="s">
        <v>14</v>
      </c>
      <c r="AN34" s="182"/>
      <c r="AO34" s="182"/>
      <c r="AP34" s="183"/>
      <c r="AQ34" s="186" t="s">
        <v>7</v>
      </c>
    </row>
    <row r="35" spans="1:43" ht="15.75" thickBot="1" x14ac:dyDescent="0.3">
      <c r="A35" s="208"/>
      <c r="B35" s="8" t="s">
        <v>4</v>
      </c>
      <c r="C35" s="8" t="s">
        <v>5</v>
      </c>
      <c r="D35" s="69" t="s">
        <v>17</v>
      </c>
      <c r="E35" s="8" t="s">
        <v>6</v>
      </c>
      <c r="F35" s="8" t="s">
        <v>4</v>
      </c>
      <c r="G35" s="8" t="s">
        <v>5</v>
      </c>
      <c r="H35" s="69" t="s">
        <v>17</v>
      </c>
      <c r="I35" s="38" t="s">
        <v>6</v>
      </c>
      <c r="J35" s="194"/>
      <c r="L35" s="208"/>
      <c r="M35" s="8" t="s">
        <v>4</v>
      </c>
      <c r="N35" s="8" t="s">
        <v>5</v>
      </c>
      <c r="O35" s="69" t="s">
        <v>17</v>
      </c>
      <c r="P35" s="8" t="s">
        <v>6</v>
      </c>
      <c r="Q35" s="8" t="s">
        <v>4</v>
      </c>
      <c r="R35" s="8" t="s">
        <v>5</v>
      </c>
      <c r="S35" s="69" t="s">
        <v>17</v>
      </c>
      <c r="T35" s="38" t="s">
        <v>6</v>
      </c>
      <c r="U35" s="194"/>
      <c r="W35" s="208"/>
      <c r="X35" s="8" t="s">
        <v>4</v>
      </c>
      <c r="Y35" s="8" t="s">
        <v>5</v>
      </c>
      <c r="Z35" s="69" t="s">
        <v>17</v>
      </c>
      <c r="AA35" s="8" t="s">
        <v>6</v>
      </c>
      <c r="AB35" s="8" t="s">
        <v>4</v>
      </c>
      <c r="AC35" s="8" t="s">
        <v>5</v>
      </c>
      <c r="AD35" s="69" t="s">
        <v>17</v>
      </c>
      <c r="AE35" s="38" t="s">
        <v>6</v>
      </c>
      <c r="AF35" s="194"/>
      <c r="AH35" s="208"/>
      <c r="AI35" s="8" t="s">
        <v>4</v>
      </c>
      <c r="AJ35" s="8" t="s">
        <v>5</v>
      </c>
      <c r="AK35" s="69" t="s">
        <v>17</v>
      </c>
      <c r="AL35" s="8" t="s">
        <v>6</v>
      </c>
      <c r="AM35" s="8" t="s">
        <v>4</v>
      </c>
      <c r="AN35" s="8" t="s">
        <v>5</v>
      </c>
      <c r="AO35" s="69" t="s">
        <v>17</v>
      </c>
      <c r="AP35" s="38" t="s">
        <v>6</v>
      </c>
      <c r="AQ35" s="194"/>
    </row>
    <row r="36" spans="1:43" x14ac:dyDescent="0.25">
      <c r="A36" s="5">
        <v>9</v>
      </c>
      <c r="B36" s="5">
        <f>43+25+25</f>
        <v>93</v>
      </c>
      <c r="C36" s="5">
        <f>9+12+13</f>
        <v>34</v>
      </c>
      <c r="D36" s="63">
        <f>SUM(B36:C36)</f>
        <v>127</v>
      </c>
      <c r="E36" s="6">
        <f t="shared" ref="E36:E59" si="22">C36/B36</f>
        <v>0.36559139784946237</v>
      </c>
      <c r="F36" s="5">
        <f>21</f>
        <v>21</v>
      </c>
      <c r="G36" s="5">
        <f>11</f>
        <v>11</v>
      </c>
      <c r="H36" s="63">
        <f>SUM(F36:G36)</f>
        <v>32</v>
      </c>
      <c r="I36" s="6">
        <f t="shared" ref="I36:I59" si="23">G36/F36</f>
        <v>0.52380952380952384</v>
      </c>
      <c r="J36" s="36">
        <f t="shared" ref="J36:J59" si="24">I36/E36</f>
        <v>1.4327731092436975</v>
      </c>
      <c r="L36" s="26">
        <v>7</v>
      </c>
      <c r="M36" s="5">
        <f>22+7+9+6+11</f>
        <v>55</v>
      </c>
      <c r="N36" s="5">
        <f>8+6+1+11</f>
        <v>26</v>
      </c>
      <c r="O36" s="63">
        <f>SUM(M36:N36)</f>
        <v>81</v>
      </c>
      <c r="P36" s="6">
        <f t="shared" ref="P36:P60" si="25">N36/M36</f>
        <v>0.47272727272727272</v>
      </c>
      <c r="Q36" s="5">
        <f>8+14+1</f>
        <v>23</v>
      </c>
      <c r="R36" s="5">
        <f>7+6+4</f>
        <v>17</v>
      </c>
      <c r="S36" s="63">
        <f>SUM(Q36:R36)</f>
        <v>40</v>
      </c>
      <c r="T36" s="6">
        <f t="shared" ref="T36:T59" si="26">R36/Q36</f>
        <v>0.73913043478260865</v>
      </c>
      <c r="U36" s="117">
        <f t="shared" ref="U36:U60" si="27">T36/P36</f>
        <v>1.5635451505016722</v>
      </c>
      <c r="W36" s="67">
        <v>1</v>
      </c>
      <c r="X36" s="5">
        <f>47+46+7</f>
        <v>100</v>
      </c>
      <c r="Y36" s="5">
        <f>22+18+7</f>
        <v>47</v>
      </c>
      <c r="Z36" s="63">
        <f>SUM(X36:Y36)</f>
        <v>147</v>
      </c>
      <c r="AA36" s="6">
        <f t="shared" ref="AA36:AA40" si="28">Y36/X36</f>
        <v>0.47</v>
      </c>
      <c r="AB36" s="5">
        <f>23+22</f>
        <v>45</v>
      </c>
      <c r="AC36" s="5">
        <f>8</f>
        <v>8</v>
      </c>
      <c r="AD36" s="63">
        <f>SUM(AB36:AC36)</f>
        <v>53</v>
      </c>
      <c r="AE36" s="6">
        <f>AC36/AB36</f>
        <v>0.17777777777777778</v>
      </c>
      <c r="AF36" s="35">
        <f t="shared" ref="AF36:AF52" si="29">AE36/AA36</f>
        <v>0.37825059101654851</v>
      </c>
      <c r="AH36" s="16">
        <v>3</v>
      </c>
      <c r="AI36" s="5">
        <f>25+10+1+1</f>
        <v>37</v>
      </c>
      <c r="AJ36" s="5">
        <f>3+8+5+2</f>
        <v>18</v>
      </c>
      <c r="AK36" s="63">
        <f>SUM(AI36:AJ36)</f>
        <v>55</v>
      </c>
      <c r="AL36" s="6">
        <f t="shared" ref="AL36:AL63" si="30">AJ36/AI36</f>
        <v>0.48648648648648651</v>
      </c>
      <c r="AM36" s="5">
        <f>12+10+2</f>
        <v>24</v>
      </c>
      <c r="AN36" s="5">
        <f>4</f>
        <v>4</v>
      </c>
      <c r="AO36" s="63">
        <f>SUM(AM36:AN36)</f>
        <v>28</v>
      </c>
      <c r="AP36" s="27">
        <f t="shared" ref="AP36:AP63" si="31">AN36/AM36</f>
        <v>0.16666666666666666</v>
      </c>
      <c r="AQ36" s="36">
        <f t="shared" ref="AQ36:AQ63" si="32">AP36/AL36</f>
        <v>0.34259259259259256</v>
      </c>
    </row>
    <row r="37" spans="1:43" ht="17.25" customHeight="1" x14ac:dyDescent="0.25">
      <c r="A37" s="5">
        <v>4</v>
      </c>
      <c r="B37" s="5">
        <f>31+21+51</f>
        <v>103</v>
      </c>
      <c r="C37" s="5">
        <f>12+12+31</f>
        <v>55</v>
      </c>
      <c r="D37" s="5">
        <f t="shared" ref="D37:D59" si="33">SUM(B37:C37)</f>
        <v>158</v>
      </c>
      <c r="E37" s="6">
        <f t="shared" si="22"/>
        <v>0.53398058252427183</v>
      </c>
      <c r="F37" s="5">
        <f>112</f>
        <v>112</v>
      </c>
      <c r="G37" s="5">
        <f>56</f>
        <v>56</v>
      </c>
      <c r="H37" s="5">
        <f t="shared" ref="H37:H59" si="34">SUM(F37:G37)</f>
        <v>168</v>
      </c>
      <c r="I37" s="6">
        <f t="shared" si="23"/>
        <v>0.5</v>
      </c>
      <c r="J37" s="36">
        <f t="shared" si="24"/>
        <v>0.9363636363636364</v>
      </c>
      <c r="L37" s="26">
        <v>8</v>
      </c>
      <c r="M37" s="5">
        <f>28+41+39</f>
        <v>108</v>
      </c>
      <c r="N37" s="5">
        <f>21+20+20</f>
        <v>61</v>
      </c>
      <c r="O37" s="5">
        <f t="shared" ref="O37" si="35">SUM(M37:N37)</f>
        <v>169</v>
      </c>
      <c r="P37" s="6">
        <f t="shared" si="25"/>
        <v>0.56481481481481477</v>
      </c>
      <c r="Q37" s="5">
        <f>23+16+2</f>
        <v>41</v>
      </c>
      <c r="R37" s="5">
        <f>14+12</f>
        <v>26</v>
      </c>
      <c r="S37" s="5">
        <f t="shared" ref="S37:S60" si="36">SUM(Q37:R37)</f>
        <v>67</v>
      </c>
      <c r="T37" s="6">
        <f t="shared" si="26"/>
        <v>0.63414634146341464</v>
      </c>
      <c r="U37" s="36">
        <f t="shared" si="27"/>
        <v>1.1227508996401441</v>
      </c>
      <c r="W37" s="67">
        <v>2</v>
      </c>
      <c r="X37" s="5">
        <f>37+42+40</f>
        <v>119</v>
      </c>
      <c r="Y37" s="5">
        <f>19+18+15</f>
        <v>52</v>
      </c>
      <c r="Z37" s="5">
        <f t="shared" ref="Z37:Z52" si="37">SUM(X37:Y37)</f>
        <v>171</v>
      </c>
      <c r="AA37" s="6">
        <f t="shared" si="28"/>
        <v>0.43697478991596639</v>
      </c>
      <c r="AB37" s="5">
        <f>22+25</f>
        <v>47</v>
      </c>
      <c r="AC37" s="5">
        <f>4</f>
        <v>4</v>
      </c>
      <c r="AD37" s="5">
        <f t="shared" ref="AD37:AD52" si="38">SUM(AB37:AC37)</f>
        <v>51</v>
      </c>
      <c r="AE37" s="6">
        <f t="shared" ref="AE37:AE41" si="39">AC37/AB37</f>
        <v>8.5106382978723402E-2</v>
      </c>
      <c r="AF37" s="36">
        <f t="shared" si="29"/>
        <v>0.19476268412438624</v>
      </c>
      <c r="AH37" s="17">
        <v>8</v>
      </c>
      <c r="AI37" s="5">
        <f>35+17+17+19</f>
        <v>88</v>
      </c>
      <c r="AJ37" s="5">
        <f>8+1+6</f>
        <v>15</v>
      </c>
      <c r="AK37" s="5">
        <f t="shared" ref="AK37:AK63" si="40">SUM(AI37:AJ37)</f>
        <v>103</v>
      </c>
      <c r="AL37" s="6">
        <f t="shared" si="30"/>
        <v>0.17045454545454544</v>
      </c>
      <c r="AM37" s="5">
        <f>22+29+5</f>
        <v>56</v>
      </c>
      <c r="AN37" s="5">
        <f>3</f>
        <v>3</v>
      </c>
      <c r="AO37" s="5">
        <f t="shared" ref="AO37:AO63" si="41">SUM(AM37:AN37)</f>
        <v>59</v>
      </c>
      <c r="AP37" s="27">
        <f t="shared" si="31"/>
        <v>5.3571428571428568E-2</v>
      </c>
      <c r="AQ37" s="36">
        <f t="shared" si="32"/>
        <v>0.31428571428571428</v>
      </c>
    </row>
    <row r="38" spans="1:43" x14ac:dyDescent="0.25">
      <c r="A38" s="5">
        <v>4</v>
      </c>
      <c r="B38" s="5">
        <v>68</v>
      </c>
      <c r="C38" s="5">
        <v>53</v>
      </c>
      <c r="D38" s="5">
        <f>SUM(B38:C38)</f>
        <v>121</v>
      </c>
      <c r="E38" s="6">
        <f t="shared" si="22"/>
        <v>0.77941176470588236</v>
      </c>
      <c r="F38" s="5">
        <v>29</v>
      </c>
      <c r="G38" s="5">
        <v>21</v>
      </c>
      <c r="H38" s="5">
        <f t="shared" si="34"/>
        <v>50</v>
      </c>
      <c r="I38" s="6">
        <f t="shared" si="23"/>
        <v>0.72413793103448276</v>
      </c>
      <c r="J38" s="36">
        <f t="shared" si="24"/>
        <v>0.92908262849707224</v>
      </c>
      <c r="L38" s="26">
        <v>9</v>
      </c>
      <c r="M38" s="5">
        <f>47+26+11</f>
        <v>84</v>
      </c>
      <c r="N38" s="5">
        <f>29+8</f>
        <v>37</v>
      </c>
      <c r="O38" s="5">
        <f t="shared" ref="O38:O60" si="42">SUM(M38:N38)</f>
        <v>121</v>
      </c>
      <c r="P38" s="6">
        <f t="shared" si="25"/>
        <v>0.44047619047619047</v>
      </c>
      <c r="Q38" s="5">
        <f>19+31+2</f>
        <v>52</v>
      </c>
      <c r="R38" s="5">
        <f>10+14+1</f>
        <v>25</v>
      </c>
      <c r="S38" s="5">
        <f t="shared" si="36"/>
        <v>77</v>
      </c>
      <c r="T38" s="6">
        <f t="shared" si="26"/>
        <v>0.48076923076923078</v>
      </c>
      <c r="U38" s="36">
        <f t="shared" si="27"/>
        <v>1.0914760914760915</v>
      </c>
      <c r="W38" s="7">
        <v>3</v>
      </c>
      <c r="X38" s="5">
        <f>33+45+28</f>
        <v>106</v>
      </c>
      <c r="Y38" s="5">
        <f>20+16+14</f>
        <v>50</v>
      </c>
      <c r="Z38" s="5">
        <f t="shared" si="37"/>
        <v>156</v>
      </c>
      <c r="AA38" s="6">
        <f t="shared" si="28"/>
        <v>0.47169811320754718</v>
      </c>
      <c r="AB38" s="5">
        <f>16+45</f>
        <v>61</v>
      </c>
      <c r="AC38" s="5">
        <f>8</f>
        <v>8</v>
      </c>
      <c r="AD38" s="5">
        <f t="shared" si="38"/>
        <v>69</v>
      </c>
      <c r="AE38" s="6">
        <f t="shared" si="39"/>
        <v>0.13114754098360656</v>
      </c>
      <c r="AF38" s="36">
        <f t="shared" si="29"/>
        <v>0.27803278688524591</v>
      </c>
      <c r="AH38" s="20">
        <v>5</v>
      </c>
      <c r="AI38" s="5">
        <f>9+13+41+14+23</f>
        <v>100</v>
      </c>
      <c r="AJ38" s="5">
        <f>4+7+7+10</f>
        <v>28</v>
      </c>
      <c r="AK38" s="5">
        <f t="shared" si="40"/>
        <v>128</v>
      </c>
      <c r="AL38" s="6">
        <f t="shared" si="30"/>
        <v>0.28000000000000003</v>
      </c>
      <c r="AM38" s="5">
        <f>21+38</f>
        <v>59</v>
      </c>
      <c r="AN38" s="5">
        <f>3</f>
        <v>3</v>
      </c>
      <c r="AO38" s="5">
        <f t="shared" si="41"/>
        <v>62</v>
      </c>
      <c r="AP38" s="27">
        <f t="shared" si="31"/>
        <v>5.0847457627118647E-2</v>
      </c>
      <c r="AQ38" s="36">
        <f t="shared" si="32"/>
        <v>0.18159806295399517</v>
      </c>
    </row>
    <row r="39" spans="1:43" x14ac:dyDescent="0.25">
      <c r="A39" s="5">
        <v>3</v>
      </c>
      <c r="B39" s="5">
        <f>33+17+50</f>
        <v>100</v>
      </c>
      <c r="C39" s="5">
        <f>19+10+31</f>
        <v>60</v>
      </c>
      <c r="D39" s="5">
        <f t="shared" si="33"/>
        <v>160</v>
      </c>
      <c r="E39" s="6">
        <f t="shared" si="22"/>
        <v>0.6</v>
      </c>
      <c r="F39" s="5">
        <f>89</f>
        <v>89</v>
      </c>
      <c r="G39" s="5">
        <f>48</f>
        <v>48</v>
      </c>
      <c r="H39" s="5">
        <f t="shared" si="34"/>
        <v>137</v>
      </c>
      <c r="I39" s="6">
        <f t="shared" si="23"/>
        <v>0.5393258426966292</v>
      </c>
      <c r="J39" s="36">
        <f t="shared" si="24"/>
        <v>0.898876404494382</v>
      </c>
      <c r="L39" s="26">
        <v>2</v>
      </c>
      <c r="M39" s="5">
        <f>21+52+52</f>
        <v>125</v>
      </c>
      <c r="N39" s="5">
        <f>18+23+22</f>
        <v>63</v>
      </c>
      <c r="O39" s="5">
        <f t="shared" si="42"/>
        <v>188</v>
      </c>
      <c r="P39" s="6">
        <f t="shared" si="25"/>
        <v>0.504</v>
      </c>
      <c r="Q39" s="5">
        <f>29+28</f>
        <v>57</v>
      </c>
      <c r="R39" s="5">
        <f>20+10+1</f>
        <v>31</v>
      </c>
      <c r="S39" s="5">
        <f t="shared" si="36"/>
        <v>88</v>
      </c>
      <c r="T39" s="6">
        <f t="shared" si="26"/>
        <v>0.54385964912280704</v>
      </c>
      <c r="U39" s="36">
        <f t="shared" si="27"/>
        <v>1.0790866054023949</v>
      </c>
      <c r="W39" s="67">
        <v>5</v>
      </c>
      <c r="X39" s="5">
        <f>45+34</f>
        <v>79</v>
      </c>
      <c r="Y39" s="5">
        <f>16+21</f>
        <v>37</v>
      </c>
      <c r="Z39" s="5">
        <f t="shared" si="37"/>
        <v>116</v>
      </c>
      <c r="AA39" s="6">
        <f t="shared" si="28"/>
        <v>0.46835443037974683</v>
      </c>
      <c r="AB39" s="5">
        <f>18+31</f>
        <v>49</v>
      </c>
      <c r="AC39" s="5">
        <f>8</f>
        <v>8</v>
      </c>
      <c r="AD39" s="5">
        <f t="shared" si="38"/>
        <v>57</v>
      </c>
      <c r="AE39" s="6">
        <f t="shared" si="39"/>
        <v>0.16326530612244897</v>
      </c>
      <c r="AF39" s="36">
        <f t="shared" si="29"/>
        <v>0.34859349145063429</v>
      </c>
      <c r="AH39" s="17">
        <v>10</v>
      </c>
      <c r="AI39" s="5">
        <f>29+13+2+3</f>
        <v>47</v>
      </c>
      <c r="AJ39" s="5">
        <f>9+10+4+4</f>
        <v>27</v>
      </c>
      <c r="AK39" s="5">
        <f t="shared" si="40"/>
        <v>74</v>
      </c>
      <c r="AL39" s="6">
        <f t="shared" si="30"/>
        <v>0.57446808510638303</v>
      </c>
      <c r="AM39" s="5">
        <f>5+19</f>
        <v>24</v>
      </c>
      <c r="AN39" s="5">
        <f>2</f>
        <v>2</v>
      </c>
      <c r="AO39" s="5">
        <f t="shared" si="41"/>
        <v>26</v>
      </c>
      <c r="AP39" s="27">
        <f t="shared" si="31"/>
        <v>8.3333333333333329E-2</v>
      </c>
      <c r="AQ39" s="36">
        <f t="shared" si="32"/>
        <v>0.14506172839506171</v>
      </c>
    </row>
    <row r="40" spans="1:43" x14ac:dyDescent="0.25">
      <c r="A40" s="5">
        <v>2</v>
      </c>
      <c r="B40" s="5">
        <f>36+10+44</f>
        <v>90</v>
      </c>
      <c r="C40" s="5">
        <f>17+11+23</f>
        <v>51</v>
      </c>
      <c r="D40" s="5">
        <f t="shared" si="33"/>
        <v>141</v>
      </c>
      <c r="E40" s="6">
        <f t="shared" si="22"/>
        <v>0.56666666666666665</v>
      </c>
      <c r="F40" s="5">
        <v>72</v>
      </c>
      <c r="G40" s="5">
        <f>36</f>
        <v>36</v>
      </c>
      <c r="H40" s="5">
        <f t="shared" si="34"/>
        <v>108</v>
      </c>
      <c r="I40" s="6">
        <f t="shared" si="23"/>
        <v>0.5</v>
      </c>
      <c r="J40" s="39">
        <f t="shared" si="24"/>
        <v>0.88235294117647056</v>
      </c>
      <c r="L40" s="26">
        <v>1</v>
      </c>
      <c r="M40" s="5">
        <f>19+2+20+12+16</f>
        <v>69</v>
      </c>
      <c r="N40" s="5">
        <f>9+13+6+6+6</f>
        <v>40</v>
      </c>
      <c r="O40" s="5">
        <f t="shared" si="42"/>
        <v>109</v>
      </c>
      <c r="P40" s="6">
        <f t="shared" si="25"/>
        <v>0.57971014492753625</v>
      </c>
      <c r="Q40" s="5">
        <f>35+44+5</f>
        <v>84</v>
      </c>
      <c r="R40" s="5">
        <f>17+27+3</f>
        <v>47</v>
      </c>
      <c r="S40" s="5">
        <f t="shared" si="36"/>
        <v>131</v>
      </c>
      <c r="T40" s="6">
        <f t="shared" si="26"/>
        <v>0.55952380952380953</v>
      </c>
      <c r="U40" s="36">
        <f t="shared" si="27"/>
        <v>0.96517857142857144</v>
      </c>
      <c r="W40" s="67">
        <v>6</v>
      </c>
      <c r="X40" s="5">
        <f>35+69</f>
        <v>104</v>
      </c>
      <c r="Y40" s="5">
        <f>19+35</f>
        <v>54</v>
      </c>
      <c r="Z40" s="5">
        <f t="shared" si="37"/>
        <v>158</v>
      </c>
      <c r="AA40" s="6">
        <f t="shared" si="28"/>
        <v>0.51923076923076927</v>
      </c>
      <c r="AB40" s="5">
        <f>20+32</f>
        <v>52</v>
      </c>
      <c r="AC40" s="5">
        <f>2</f>
        <v>2</v>
      </c>
      <c r="AD40" s="5">
        <f t="shared" si="38"/>
        <v>54</v>
      </c>
      <c r="AE40" s="6">
        <f t="shared" si="39"/>
        <v>3.8461538461538464E-2</v>
      </c>
      <c r="AF40" s="36">
        <f t="shared" si="29"/>
        <v>7.407407407407407E-2</v>
      </c>
      <c r="AH40" s="17">
        <v>5</v>
      </c>
      <c r="AI40" s="5">
        <f>29+18+10+11</f>
        <v>68</v>
      </c>
      <c r="AJ40" s="5">
        <f>5+11+4+3</f>
        <v>23</v>
      </c>
      <c r="AK40" s="5">
        <f t="shared" si="40"/>
        <v>91</v>
      </c>
      <c r="AL40" s="6">
        <f t="shared" si="30"/>
        <v>0.33823529411764708</v>
      </c>
      <c r="AM40" s="5">
        <f>23+23+1</f>
        <v>47</v>
      </c>
      <c r="AN40" s="5">
        <f>2</f>
        <v>2</v>
      </c>
      <c r="AO40" s="5">
        <f t="shared" si="41"/>
        <v>49</v>
      </c>
      <c r="AP40" s="27">
        <f t="shared" si="31"/>
        <v>4.2553191489361701E-2</v>
      </c>
      <c r="AQ40" s="36">
        <f t="shared" si="32"/>
        <v>0.12580943570767805</v>
      </c>
    </row>
    <row r="41" spans="1:43" x14ac:dyDescent="0.25">
      <c r="A41" s="5">
        <v>8</v>
      </c>
      <c r="B41" s="5">
        <v>52</v>
      </c>
      <c r="C41" s="5">
        <v>42</v>
      </c>
      <c r="D41" s="5">
        <f t="shared" si="33"/>
        <v>94</v>
      </c>
      <c r="E41" s="6">
        <f t="shared" si="22"/>
        <v>0.80769230769230771</v>
      </c>
      <c r="F41" s="5">
        <v>26</v>
      </c>
      <c r="G41" s="5">
        <v>18</v>
      </c>
      <c r="H41" s="5">
        <f t="shared" si="34"/>
        <v>44</v>
      </c>
      <c r="I41" s="6">
        <f t="shared" si="23"/>
        <v>0.69230769230769229</v>
      </c>
      <c r="J41" s="36">
        <f t="shared" si="24"/>
        <v>0.8571428571428571</v>
      </c>
      <c r="L41" s="26">
        <v>9</v>
      </c>
      <c r="M41" s="5">
        <f>21+10+23+20+10</f>
        <v>84</v>
      </c>
      <c r="N41" s="5">
        <f>13+12+7+6+13</f>
        <v>51</v>
      </c>
      <c r="O41" s="5">
        <f t="shared" si="42"/>
        <v>135</v>
      </c>
      <c r="P41" s="6">
        <f t="shared" si="25"/>
        <v>0.6071428571428571</v>
      </c>
      <c r="Q41" s="5">
        <f>21+54+8</f>
        <v>83</v>
      </c>
      <c r="R41" s="5">
        <f>21+21+6</f>
        <v>48</v>
      </c>
      <c r="S41" s="5">
        <f t="shared" si="36"/>
        <v>131</v>
      </c>
      <c r="T41" s="6">
        <f t="shared" si="26"/>
        <v>0.57831325301204817</v>
      </c>
      <c r="U41" s="36">
        <f t="shared" si="27"/>
        <v>0.95251594613749113</v>
      </c>
      <c r="W41" s="67">
        <v>8</v>
      </c>
      <c r="X41" s="5">
        <f>34+28</f>
        <v>62</v>
      </c>
      <c r="Y41" s="5">
        <f>16+1</f>
        <v>17</v>
      </c>
      <c r="Z41" s="5">
        <f t="shared" si="37"/>
        <v>79</v>
      </c>
      <c r="AA41" s="6">
        <f>Y41/X41</f>
        <v>0.27419354838709675</v>
      </c>
      <c r="AB41" s="5">
        <f>32+27</f>
        <v>59</v>
      </c>
      <c r="AC41" s="5">
        <f>9</f>
        <v>9</v>
      </c>
      <c r="AD41" s="5">
        <f t="shared" si="38"/>
        <v>68</v>
      </c>
      <c r="AE41" s="6">
        <f t="shared" si="39"/>
        <v>0.15254237288135594</v>
      </c>
      <c r="AF41" s="36">
        <f t="shared" si="29"/>
        <v>0.5563310069790629</v>
      </c>
      <c r="AH41" s="17">
        <v>9</v>
      </c>
      <c r="AI41" s="5">
        <f>40+19+15+25</f>
        <v>99</v>
      </c>
      <c r="AJ41" s="5">
        <f>3+1+1+6</f>
        <v>11</v>
      </c>
      <c r="AK41" s="5">
        <f t="shared" si="40"/>
        <v>110</v>
      </c>
      <c r="AL41" s="6">
        <f t="shared" si="30"/>
        <v>0.1111111111111111</v>
      </c>
      <c r="AM41" s="5">
        <f>13+53+12</f>
        <v>78</v>
      </c>
      <c r="AN41" s="5">
        <f>1</f>
        <v>1</v>
      </c>
      <c r="AO41" s="5">
        <f t="shared" si="41"/>
        <v>79</v>
      </c>
      <c r="AP41" s="27">
        <f t="shared" si="31"/>
        <v>1.282051282051282E-2</v>
      </c>
      <c r="AQ41" s="36">
        <f t="shared" si="32"/>
        <v>0.11538461538461539</v>
      </c>
    </row>
    <row r="42" spans="1:43" x14ac:dyDescent="0.25">
      <c r="A42" s="5">
        <v>4</v>
      </c>
      <c r="B42" s="5">
        <f>24+29+30</f>
        <v>83</v>
      </c>
      <c r="C42" s="5">
        <f>20+11+23</f>
        <v>54</v>
      </c>
      <c r="D42" s="5">
        <f t="shared" si="33"/>
        <v>137</v>
      </c>
      <c r="E42" s="6">
        <f t="shared" si="22"/>
        <v>0.6506024096385542</v>
      </c>
      <c r="F42" s="5">
        <f>20+23+4</f>
        <v>47</v>
      </c>
      <c r="G42" s="5">
        <f>7+19</f>
        <v>26</v>
      </c>
      <c r="H42" s="5">
        <f t="shared" si="34"/>
        <v>73</v>
      </c>
      <c r="I42" s="6">
        <f t="shared" si="23"/>
        <v>0.55319148936170215</v>
      </c>
      <c r="J42" s="36">
        <f t="shared" si="24"/>
        <v>0.85027580772261624</v>
      </c>
      <c r="L42" s="26">
        <v>7</v>
      </c>
      <c r="M42" s="5">
        <f>25+42+40</f>
        <v>107</v>
      </c>
      <c r="N42" s="5">
        <f>14+19+17</f>
        <v>50</v>
      </c>
      <c r="O42" s="5">
        <f t="shared" si="42"/>
        <v>157</v>
      </c>
      <c r="P42" s="6">
        <f t="shared" si="25"/>
        <v>0.46728971962616822</v>
      </c>
      <c r="Q42" s="5">
        <f>16+34+4</f>
        <v>54</v>
      </c>
      <c r="R42" s="5">
        <f>10+13+1</f>
        <v>24</v>
      </c>
      <c r="S42" s="5">
        <f t="shared" si="36"/>
        <v>78</v>
      </c>
      <c r="T42" s="6">
        <f t="shared" si="26"/>
        <v>0.44444444444444442</v>
      </c>
      <c r="U42" s="36">
        <f t="shared" si="27"/>
        <v>0.95111111111111102</v>
      </c>
      <c r="W42" s="67">
        <v>1</v>
      </c>
      <c r="X42" s="5">
        <f>44+12+21+17</f>
        <v>94</v>
      </c>
      <c r="Y42" s="5">
        <f>4+6+16+20</f>
        <v>46</v>
      </c>
      <c r="Z42" s="5">
        <f t="shared" si="37"/>
        <v>140</v>
      </c>
      <c r="AA42" s="6">
        <f t="shared" ref="AA42:AA46" si="43">Y42/X42</f>
        <v>0.48936170212765956</v>
      </c>
      <c r="AB42" s="5">
        <f>25+12</f>
        <v>37</v>
      </c>
      <c r="AC42" s="5">
        <f>7+4</f>
        <v>11</v>
      </c>
      <c r="AD42" s="5">
        <f t="shared" si="38"/>
        <v>48</v>
      </c>
      <c r="AE42" s="6">
        <f>AC42/AB42</f>
        <v>0.29729729729729731</v>
      </c>
      <c r="AF42" s="39">
        <f t="shared" si="29"/>
        <v>0.60752056404230326</v>
      </c>
      <c r="AH42" s="17">
        <v>4</v>
      </c>
      <c r="AI42" s="5">
        <f>26+12+8+21</f>
        <v>67</v>
      </c>
      <c r="AJ42" s="5">
        <f>4+5+2+6</f>
        <v>17</v>
      </c>
      <c r="AK42" s="5">
        <f t="shared" si="40"/>
        <v>84</v>
      </c>
      <c r="AL42" s="6">
        <f t="shared" si="30"/>
        <v>0.2537313432835821</v>
      </c>
      <c r="AM42" s="5">
        <f>16+16+3</f>
        <v>35</v>
      </c>
      <c r="AN42" s="5">
        <f>1</f>
        <v>1</v>
      </c>
      <c r="AO42" s="5">
        <f t="shared" si="41"/>
        <v>36</v>
      </c>
      <c r="AP42" s="27">
        <f t="shared" si="31"/>
        <v>2.8571428571428571E-2</v>
      </c>
      <c r="AQ42" s="36">
        <f t="shared" si="32"/>
        <v>0.11260504201680671</v>
      </c>
    </row>
    <row r="43" spans="1:43" x14ac:dyDescent="0.25">
      <c r="A43" s="5">
        <v>7</v>
      </c>
      <c r="B43" s="5">
        <f>22+8+28</f>
        <v>58</v>
      </c>
      <c r="C43" s="5">
        <f>4+10+21</f>
        <v>35</v>
      </c>
      <c r="D43" s="5">
        <f t="shared" si="33"/>
        <v>93</v>
      </c>
      <c r="E43" s="6">
        <f t="shared" si="22"/>
        <v>0.60344827586206895</v>
      </c>
      <c r="F43" s="5">
        <f>71</f>
        <v>71</v>
      </c>
      <c r="G43" s="5">
        <f>36</f>
        <v>36</v>
      </c>
      <c r="H43" s="5">
        <f t="shared" si="34"/>
        <v>107</v>
      </c>
      <c r="I43" s="6">
        <f t="shared" si="23"/>
        <v>0.50704225352112675</v>
      </c>
      <c r="J43" s="36">
        <f t="shared" si="24"/>
        <v>0.84024144869215289</v>
      </c>
      <c r="L43" s="26">
        <v>6</v>
      </c>
      <c r="M43" s="5">
        <f>44+36+27</f>
        <v>107</v>
      </c>
      <c r="N43" s="5">
        <f>24+15+18</f>
        <v>57</v>
      </c>
      <c r="O43" s="5">
        <f t="shared" si="42"/>
        <v>164</v>
      </c>
      <c r="P43" s="6">
        <f t="shared" si="25"/>
        <v>0.53271028037383172</v>
      </c>
      <c r="Q43" s="5">
        <f>67+6</f>
        <v>73</v>
      </c>
      <c r="R43" s="5">
        <f>34+2</f>
        <v>36</v>
      </c>
      <c r="S43" s="5">
        <f t="shared" si="36"/>
        <v>109</v>
      </c>
      <c r="T43" s="6">
        <f t="shared" si="26"/>
        <v>0.49315068493150682</v>
      </c>
      <c r="U43" s="39">
        <f t="shared" si="27"/>
        <v>0.92573900504686379</v>
      </c>
      <c r="W43" s="67">
        <v>2</v>
      </c>
      <c r="X43" s="5">
        <f>48+21+28+21</f>
        <v>118</v>
      </c>
      <c r="Y43" s="5">
        <f>8+5+5+20</f>
        <v>38</v>
      </c>
      <c r="Z43" s="5">
        <f t="shared" si="37"/>
        <v>156</v>
      </c>
      <c r="AA43" s="6">
        <f t="shared" si="43"/>
        <v>0.32203389830508472</v>
      </c>
      <c r="AB43" s="5">
        <f>27+7</f>
        <v>34</v>
      </c>
      <c r="AC43" s="5">
        <f>4+5</f>
        <v>9</v>
      </c>
      <c r="AD43" s="5">
        <f t="shared" si="38"/>
        <v>43</v>
      </c>
      <c r="AE43" s="6">
        <f t="shared" ref="AE43:AE47" si="44">AC43/AB43</f>
        <v>0.26470588235294118</v>
      </c>
      <c r="AF43" s="36">
        <f t="shared" si="29"/>
        <v>0.82198142414860687</v>
      </c>
      <c r="AH43" s="20">
        <v>10</v>
      </c>
      <c r="AI43" s="5">
        <f>3+13+6+8</f>
        <v>30</v>
      </c>
      <c r="AJ43" s="5">
        <f>2+3+6+2</f>
        <v>13</v>
      </c>
      <c r="AK43" s="5">
        <f t="shared" si="40"/>
        <v>43</v>
      </c>
      <c r="AL43" s="6">
        <f t="shared" si="30"/>
        <v>0.43333333333333335</v>
      </c>
      <c r="AM43" s="5">
        <f>10+11</f>
        <v>21</v>
      </c>
      <c r="AN43" s="5">
        <f>1</f>
        <v>1</v>
      </c>
      <c r="AO43" s="5">
        <f t="shared" si="41"/>
        <v>22</v>
      </c>
      <c r="AP43" s="27">
        <f t="shared" si="31"/>
        <v>4.7619047619047616E-2</v>
      </c>
      <c r="AQ43" s="36">
        <f t="shared" si="32"/>
        <v>0.10989010989010987</v>
      </c>
    </row>
    <row r="44" spans="1:43" x14ac:dyDescent="0.25">
      <c r="A44" s="5">
        <v>10</v>
      </c>
      <c r="B44" s="5">
        <f>45+20+51</f>
        <v>116</v>
      </c>
      <c r="C44" s="5">
        <f>18+7+31</f>
        <v>56</v>
      </c>
      <c r="D44" s="5">
        <f t="shared" si="33"/>
        <v>172</v>
      </c>
      <c r="E44" s="6">
        <f t="shared" si="22"/>
        <v>0.48275862068965519</v>
      </c>
      <c r="F44" s="5">
        <f>116</f>
        <v>116</v>
      </c>
      <c r="G44" s="5">
        <f>47</f>
        <v>47</v>
      </c>
      <c r="H44" s="5">
        <f t="shared" si="34"/>
        <v>163</v>
      </c>
      <c r="I44" s="6">
        <f t="shared" si="23"/>
        <v>0.40517241379310343</v>
      </c>
      <c r="J44" s="36">
        <f t="shared" si="24"/>
        <v>0.83928571428571419</v>
      </c>
      <c r="L44" s="7">
        <v>3</v>
      </c>
      <c r="M44" s="5">
        <f>29+34+19</f>
        <v>82</v>
      </c>
      <c r="N44" s="5">
        <f>20+18+8</f>
        <v>46</v>
      </c>
      <c r="O44" s="5">
        <f t="shared" si="42"/>
        <v>128</v>
      </c>
      <c r="P44" s="6">
        <f t="shared" si="25"/>
        <v>0.56097560975609762</v>
      </c>
      <c r="Q44" s="5">
        <f>31+47+1</f>
        <v>79</v>
      </c>
      <c r="R44" s="5">
        <f>18+22+1</f>
        <v>41</v>
      </c>
      <c r="S44" s="5">
        <f t="shared" si="36"/>
        <v>120</v>
      </c>
      <c r="T44" s="6">
        <f t="shared" si="26"/>
        <v>0.51898734177215189</v>
      </c>
      <c r="U44" s="36">
        <f t="shared" si="27"/>
        <v>0.92515134837644464</v>
      </c>
      <c r="W44" s="67">
        <v>4</v>
      </c>
      <c r="X44" s="5">
        <f>35+17+29+20</f>
        <v>101</v>
      </c>
      <c r="Y44" s="5">
        <f>9+13+6+17</f>
        <v>45</v>
      </c>
      <c r="Z44" s="5">
        <f t="shared" si="37"/>
        <v>146</v>
      </c>
      <c r="AA44" s="6">
        <f t="shared" si="43"/>
        <v>0.44554455445544555</v>
      </c>
      <c r="AB44" s="5">
        <f>26+30+12</f>
        <v>68</v>
      </c>
      <c r="AC44" s="5">
        <f>6+13+1</f>
        <v>20</v>
      </c>
      <c r="AD44" s="5">
        <f t="shared" si="38"/>
        <v>88</v>
      </c>
      <c r="AE44" s="6">
        <f t="shared" si="44"/>
        <v>0.29411764705882354</v>
      </c>
      <c r="AF44" s="36">
        <f t="shared" si="29"/>
        <v>0.66013071895424835</v>
      </c>
      <c r="AH44" s="20">
        <v>9</v>
      </c>
      <c r="AI44" s="5">
        <f>4+8+24+14+11</f>
        <v>61</v>
      </c>
      <c r="AJ44" s="5">
        <f>1+8+9+3</f>
        <v>21</v>
      </c>
      <c r="AK44" s="5">
        <f t="shared" si="40"/>
        <v>82</v>
      </c>
      <c r="AL44" s="6">
        <f t="shared" si="30"/>
        <v>0.34426229508196721</v>
      </c>
      <c r="AM44" s="5">
        <f>26+13</f>
        <v>39</v>
      </c>
      <c r="AN44" s="5">
        <f>1</f>
        <v>1</v>
      </c>
      <c r="AO44" s="5">
        <f t="shared" si="41"/>
        <v>40</v>
      </c>
      <c r="AP44" s="27">
        <f t="shared" si="31"/>
        <v>2.564102564102564E-2</v>
      </c>
      <c r="AQ44" s="36">
        <f t="shared" si="32"/>
        <v>7.448107448107448E-2</v>
      </c>
    </row>
    <row r="45" spans="1:43" x14ac:dyDescent="0.25">
      <c r="A45" s="5">
        <v>10</v>
      </c>
      <c r="B45" s="5">
        <v>65</v>
      </c>
      <c r="C45" s="5">
        <v>35</v>
      </c>
      <c r="D45" s="5">
        <f t="shared" si="33"/>
        <v>100</v>
      </c>
      <c r="E45" s="6">
        <f t="shared" si="22"/>
        <v>0.53846153846153844</v>
      </c>
      <c r="F45" s="5">
        <v>34</v>
      </c>
      <c r="G45" s="5">
        <v>15</v>
      </c>
      <c r="H45" s="5">
        <f t="shared" si="34"/>
        <v>49</v>
      </c>
      <c r="I45" s="6">
        <f t="shared" si="23"/>
        <v>0.44117647058823528</v>
      </c>
      <c r="J45" s="39">
        <f t="shared" si="24"/>
        <v>0.81932773109243695</v>
      </c>
      <c r="L45" s="26">
        <v>5</v>
      </c>
      <c r="M45" s="5">
        <f>13+2+14+19+8</f>
        <v>56</v>
      </c>
      <c r="N45" s="5">
        <f>2+12+4+3+7</f>
        <v>28</v>
      </c>
      <c r="O45" s="5">
        <f t="shared" si="42"/>
        <v>84</v>
      </c>
      <c r="P45" s="6">
        <f t="shared" si="25"/>
        <v>0.5</v>
      </c>
      <c r="Q45" s="5">
        <f>9+13</f>
        <v>22</v>
      </c>
      <c r="R45" s="5">
        <f>5+5</f>
        <v>10</v>
      </c>
      <c r="S45" s="5">
        <f t="shared" si="36"/>
        <v>32</v>
      </c>
      <c r="T45" s="6">
        <f t="shared" si="26"/>
        <v>0.45454545454545453</v>
      </c>
      <c r="U45" s="36">
        <f t="shared" si="27"/>
        <v>0.90909090909090906</v>
      </c>
      <c r="W45" s="67">
        <v>5</v>
      </c>
      <c r="X45" s="5">
        <f>17+20+18+15</f>
        <v>70</v>
      </c>
      <c r="Y45" s="5">
        <f>5+14+8+8</f>
        <v>35</v>
      </c>
      <c r="Z45" s="5">
        <f t="shared" si="37"/>
        <v>105</v>
      </c>
      <c r="AA45" s="6">
        <f t="shared" si="43"/>
        <v>0.5</v>
      </c>
      <c r="AB45" s="5">
        <f>24+47+4</f>
        <v>75</v>
      </c>
      <c r="AC45" s="5">
        <f>3+8+1</f>
        <v>12</v>
      </c>
      <c r="AD45" s="5">
        <f t="shared" si="38"/>
        <v>87</v>
      </c>
      <c r="AE45" s="6">
        <f t="shared" si="44"/>
        <v>0.16</v>
      </c>
      <c r="AF45" s="36">
        <f t="shared" si="29"/>
        <v>0.32</v>
      </c>
      <c r="AH45" s="20">
        <v>2</v>
      </c>
      <c r="AI45" s="5">
        <f>16+7+25+22+19</f>
        <v>89</v>
      </c>
      <c r="AJ45" s="5">
        <f>8+7+11+9</f>
        <v>35</v>
      </c>
      <c r="AK45" s="5">
        <f t="shared" si="40"/>
        <v>124</v>
      </c>
      <c r="AL45" s="6">
        <f t="shared" si="30"/>
        <v>0.39325842696629215</v>
      </c>
      <c r="AM45" s="5">
        <f>23+57+5</f>
        <v>85</v>
      </c>
      <c r="AN45" s="5">
        <f>1</f>
        <v>1</v>
      </c>
      <c r="AO45" s="5">
        <f t="shared" si="41"/>
        <v>86</v>
      </c>
      <c r="AP45" s="27">
        <f t="shared" si="31"/>
        <v>1.1764705882352941E-2</v>
      </c>
      <c r="AQ45" s="36">
        <f t="shared" si="32"/>
        <v>2.991596638655462E-2</v>
      </c>
    </row>
    <row r="46" spans="1:43" x14ac:dyDescent="0.25">
      <c r="A46" s="5">
        <v>6</v>
      </c>
      <c r="B46" s="5">
        <f>22+10+2</f>
        <v>34</v>
      </c>
      <c r="C46" s="5">
        <f>8+6</f>
        <v>14</v>
      </c>
      <c r="D46" s="5">
        <f t="shared" si="33"/>
        <v>48</v>
      </c>
      <c r="E46" s="6">
        <f t="shared" si="22"/>
        <v>0.41176470588235292</v>
      </c>
      <c r="F46" s="5">
        <f>6</f>
        <v>6</v>
      </c>
      <c r="G46" s="5">
        <f>2</f>
        <v>2</v>
      </c>
      <c r="H46" s="5">
        <f t="shared" si="34"/>
        <v>8</v>
      </c>
      <c r="I46" s="6">
        <f t="shared" si="23"/>
        <v>0.33333333333333331</v>
      </c>
      <c r="J46" s="36">
        <f t="shared" si="24"/>
        <v>0.80952380952380953</v>
      </c>
      <c r="L46" s="26">
        <v>10</v>
      </c>
      <c r="M46" s="5">
        <f>26+49+38</f>
        <v>113</v>
      </c>
      <c r="N46" s="5">
        <f>18+16+17</f>
        <v>51</v>
      </c>
      <c r="O46" s="5">
        <f t="shared" si="42"/>
        <v>164</v>
      </c>
      <c r="P46" s="6">
        <f t="shared" si="25"/>
        <v>0.45132743362831856</v>
      </c>
      <c r="Q46" s="5">
        <f>12+37+16</f>
        <v>65</v>
      </c>
      <c r="R46" s="5">
        <f>3+14+9</f>
        <v>26</v>
      </c>
      <c r="S46" s="5">
        <f t="shared" si="36"/>
        <v>91</v>
      </c>
      <c r="T46" s="6">
        <f t="shared" si="26"/>
        <v>0.4</v>
      </c>
      <c r="U46" s="36">
        <f t="shared" si="27"/>
        <v>0.88627450980392164</v>
      </c>
      <c r="W46" s="67">
        <v>7</v>
      </c>
      <c r="X46" s="5">
        <f>25+13+19+25</f>
        <v>82</v>
      </c>
      <c r="Y46" s="5">
        <f>8+13+8+14</f>
        <v>43</v>
      </c>
      <c r="Z46" s="5">
        <f t="shared" si="37"/>
        <v>125</v>
      </c>
      <c r="AA46" s="6">
        <f t="shared" si="43"/>
        <v>0.52439024390243905</v>
      </c>
      <c r="AB46" s="5">
        <f>27+15</f>
        <v>42</v>
      </c>
      <c r="AC46" s="5">
        <f>2</f>
        <v>2</v>
      </c>
      <c r="AD46" s="5">
        <f t="shared" si="38"/>
        <v>44</v>
      </c>
      <c r="AE46" s="6">
        <f t="shared" si="44"/>
        <v>4.7619047619047616E-2</v>
      </c>
      <c r="AF46" s="36">
        <f t="shared" si="29"/>
        <v>9.0808416389811727E-2</v>
      </c>
      <c r="AH46" s="16">
        <v>3</v>
      </c>
      <c r="AI46" s="5">
        <f>3+16+14+9</f>
        <v>42</v>
      </c>
      <c r="AJ46" s="5">
        <f>2+8+7+22</f>
        <v>39</v>
      </c>
      <c r="AK46" s="5">
        <f t="shared" si="40"/>
        <v>81</v>
      </c>
      <c r="AL46" s="6">
        <f t="shared" si="30"/>
        <v>0.9285714285714286</v>
      </c>
      <c r="AM46" s="5">
        <f>12+32+1</f>
        <v>45</v>
      </c>
      <c r="AN46" s="5">
        <v>1</v>
      </c>
      <c r="AO46" s="5">
        <f t="shared" si="41"/>
        <v>46</v>
      </c>
      <c r="AP46" s="27">
        <f t="shared" si="31"/>
        <v>2.2222222222222223E-2</v>
      </c>
      <c r="AQ46" s="36">
        <f t="shared" si="32"/>
        <v>2.3931623931623933E-2</v>
      </c>
    </row>
    <row r="47" spans="1:43" x14ac:dyDescent="0.25">
      <c r="A47" s="5">
        <v>2</v>
      </c>
      <c r="B47" s="5">
        <f>29+15+26</f>
        <v>70</v>
      </c>
      <c r="C47" s="5">
        <f>8+10+17</f>
        <v>35</v>
      </c>
      <c r="D47" s="5">
        <f t="shared" si="33"/>
        <v>105</v>
      </c>
      <c r="E47" s="6">
        <f t="shared" si="22"/>
        <v>0.5</v>
      </c>
      <c r="F47" s="5">
        <f>22+39+9</f>
        <v>70</v>
      </c>
      <c r="G47" s="5">
        <f>1+21+5</f>
        <v>27</v>
      </c>
      <c r="H47" s="5">
        <f t="shared" si="34"/>
        <v>97</v>
      </c>
      <c r="I47" s="6">
        <f t="shared" si="23"/>
        <v>0.38571428571428573</v>
      </c>
      <c r="J47" s="36">
        <f t="shared" si="24"/>
        <v>0.77142857142857146</v>
      </c>
      <c r="L47" s="26">
        <v>10</v>
      </c>
      <c r="M47" s="5">
        <f>17+2+13+9+4</f>
        <v>45</v>
      </c>
      <c r="N47" s="5">
        <f>1+8+4+8+8</f>
        <v>29</v>
      </c>
      <c r="O47" s="5">
        <f t="shared" si="42"/>
        <v>74</v>
      </c>
      <c r="P47" s="6">
        <f t="shared" si="25"/>
        <v>0.64444444444444449</v>
      </c>
      <c r="Q47" s="5">
        <f>30+34+7</f>
        <v>71</v>
      </c>
      <c r="R47" s="5">
        <f>19+17+1</f>
        <v>37</v>
      </c>
      <c r="S47" s="5">
        <f t="shared" si="36"/>
        <v>108</v>
      </c>
      <c r="T47" s="6">
        <f t="shared" si="26"/>
        <v>0.52112676056338025</v>
      </c>
      <c r="U47" s="36">
        <f t="shared" si="27"/>
        <v>0.80864497328800378</v>
      </c>
      <c r="W47" s="67">
        <v>9</v>
      </c>
      <c r="X47" s="5">
        <f>16+9+19+16</f>
        <v>60</v>
      </c>
      <c r="Y47" s="5">
        <f>2+8+5+6</f>
        <v>21</v>
      </c>
      <c r="Z47" s="5">
        <f t="shared" si="37"/>
        <v>81</v>
      </c>
      <c r="AA47" s="6">
        <f>Y47/X47</f>
        <v>0.35</v>
      </c>
      <c r="AB47" s="5">
        <f>28+9</f>
        <v>37</v>
      </c>
      <c r="AC47" s="5">
        <f>1</f>
        <v>1</v>
      </c>
      <c r="AD47" s="5">
        <f t="shared" si="38"/>
        <v>38</v>
      </c>
      <c r="AE47" s="6">
        <f t="shared" si="44"/>
        <v>2.7027027027027029E-2</v>
      </c>
      <c r="AF47" s="36">
        <f t="shared" si="29"/>
        <v>7.7220077220077232E-2</v>
      </c>
      <c r="AH47" s="17">
        <v>2</v>
      </c>
      <c r="AI47" s="5">
        <f>37+16+9+22</f>
        <v>84</v>
      </c>
      <c r="AJ47" s="5">
        <f>2+7+1+5</f>
        <v>15</v>
      </c>
      <c r="AK47" s="5">
        <f t="shared" si="40"/>
        <v>99</v>
      </c>
      <c r="AL47" s="6">
        <f t="shared" si="30"/>
        <v>0.17857142857142858</v>
      </c>
      <c r="AM47" s="5">
        <f>3+6+29+28</f>
        <v>66</v>
      </c>
      <c r="AN47" s="5">
        <f>0</f>
        <v>0</v>
      </c>
      <c r="AO47" s="5">
        <f t="shared" si="41"/>
        <v>66</v>
      </c>
      <c r="AP47" s="27">
        <f t="shared" si="31"/>
        <v>0</v>
      </c>
      <c r="AQ47" s="36">
        <f t="shared" si="32"/>
        <v>0</v>
      </c>
    </row>
    <row r="48" spans="1:43" x14ac:dyDescent="0.25">
      <c r="A48" s="5">
        <v>8</v>
      </c>
      <c r="B48" s="5">
        <f>34+30+32</f>
        <v>96</v>
      </c>
      <c r="C48" s="5">
        <f>10+15+14</f>
        <v>39</v>
      </c>
      <c r="D48" s="5">
        <f t="shared" si="33"/>
        <v>135</v>
      </c>
      <c r="E48" s="6">
        <f t="shared" si="22"/>
        <v>0.40625</v>
      </c>
      <c r="F48" s="5">
        <f>16+38+10</f>
        <v>64</v>
      </c>
      <c r="G48" s="5">
        <f>3+7+10</f>
        <v>20</v>
      </c>
      <c r="H48" s="5">
        <f t="shared" si="34"/>
        <v>84</v>
      </c>
      <c r="I48" s="6">
        <f t="shared" si="23"/>
        <v>0.3125</v>
      </c>
      <c r="J48" s="36">
        <f t="shared" si="24"/>
        <v>0.76923076923076927</v>
      </c>
      <c r="L48" s="26">
        <v>4</v>
      </c>
      <c r="M48" s="5">
        <f>29+25+57</f>
        <v>111</v>
      </c>
      <c r="N48" s="5">
        <f>14+36+28</f>
        <v>78</v>
      </c>
      <c r="O48" s="5">
        <f t="shared" si="42"/>
        <v>189</v>
      </c>
      <c r="P48" s="6">
        <f t="shared" si="25"/>
        <v>0.70270270270270274</v>
      </c>
      <c r="Q48" s="5">
        <f>11+31+8</f>
        <v>50</v>
      </c>
      <c r="R48" s="5">
        <f>6+11+11</f>
        <v>28</v>
      </c>
      <c r="S48" s="5">
        <f t="shared" si="36"/>
        <v>78</v>
      </c>
      <c r="T48" s="6">
        <f t="shared" si="26"/>
        <v>0.56000000000000005</v>
      </c>
      <c r="U48" s="36">
        <f t="shared" si="27"/>
        <v>0.79692307692307696</v>
      </c>
      <c r="W48" s="67">
        <v>1</v>
      </c>
      <c r="X48" s="5">
        <v>79</v>
      </c>
      <c r="Y48" s="5">
        <v>26</v>
      </c>
      <c r="Z48" s="5">
        <f t="shared" si="37"/>
        <v>105</v>
      </c>
      <c r="AA48" s="6">
        <f t="shared" ref="AA48:AA50" si="45">Y48/X48</f>
        <v>0.32911392405063289</v>
      </c>
      <c r="AB48" s="5">
        <v>49</v>
      </c>
      <c r="AC48" s="5">
        <v>8</v>
      </c>
      <c r="AD48" s="5">
        <f t="shared" si="38"/>
        <v>57</v>
      </c>
      <c r="AE48" s="6">
        <f>AC48/AB48</f>
        <v>0.16326530612244897</v>
      </c>
      <c r="AF48" s="36">
        <f t="shared" si="29"/>
        <v>0.49607535321821034</v>
      </c>
      <c r="AH48" s="17">
        <v>7</v>
      </c>
      <c r="AI48" s="5">
        <f>31+8+10+12</f>
        <v>61</v>
      </c>
      <c r="AJ48" s="5">
        <f>4+4+1+13</f>
        <v>22</v>
      </c>
      <c r="AK48" s="5">
        <f t="shared" si="40"/>
        <v>83</v>
      </c>
      <c r="AL48" s="6">
        <f t="shared" si="30"/>
        <v>0.36065573770491804</v>
      </c>
      <c r="AM48" s="5">
        <f>27+35+6</f>
        <v>68</v>
      </c>
      <c r="AN48" s="5">
        <f>0</f>
        <v>0</v>
      </c>
      <c r="AO48" s="5">
        <f t="shared" si="41"/>
        <v>68</v>
      </c>
      <c r="AP48" s="27">
        <f t="shared" si="31"/>
        <v>0</v>
      </c>
      <c r="AQ48" s="36">
        <f t="shared" si="32"/>
        <v>0</v>
      </c>
    </row>
    <row r="49" spans="1:43" x14ac:dyDescent="0.25">
      <c r="A49" s="5">
        <v>10</v>
      </c>
      <c r="B49" s="5">
        <f>28+30+19</f>
        <v>77</v>
      </c>
      <c r="C49" s="5">
        <f>29+16+11</f>
        <v>56</v>
      </c>
      <c r="D49" s="5">
        <f t="shared" si="33"/>
        <v>133</v>
      </c>
      <c r="E49" s="6">
        <f t="shared" si="22"/>
        <v>0.72727272727272729</v>
      </c>
      <c r="F49" s="5">
        <f>18+25+9</f>
        <v>52</v>
      </c>
      <c r="G49" s="5">
        <f>8+13+6</f>
        <v>27</v>
      </c>
      <c r="H49" s="5">
        <f t="shared" si="34"/>
        <v>79</v>
      </c>
      <c r="I49" s="6">
        <f t="shared" si="23"/>
        <v>0.51923076923076927</v>
      </c>
      <c r="J49" s="36">
        <f t="shared" si="24"/>
        <v>0.71394230769230771</v>
      </c>
      <c r="L49" s="26">
        <v>4</v>
      </c>
      <c r="M49" s="5">
        <f>37+36+30</f>
        <v>103</v>
      </c>
      <c r="N49" s="5">
        <f>25+7+14</f>
        <v>46</v>
      </c>
      <c r="O49" s="5">
        <f t="shared" si="42"/>
        <v>149</v>
      </c>
      <c r="P49" s="6">
        <f t="shared" si="25"/>
        <v>0.44660194174757284</v>
      </c>
      <c r="Q49" s="5">
        <f>47+26</f>
        <v>73</v>
      </c>
      <c r="R49" s="5">
        <f>14+11</f>
        <v>25</v>
      </c>
      <c r="S49" s="5">
        <f t="shared" si="36"/>
        <v>98</v>
      </c>
      <c r="T49" s="6">
        <f t="shared" si="26"/>
        <v>0.34246575342465752</v>
      </c>
      <c r="U49" s="36">
        <f t="shared" si="27"/>
        <v>0.76682549136390699</v>
      </c>
      <c r="W49" s="67">
        <v>4</v>
      </c>
      <c r="X49" s="5">
        <v>64</v>
      </c>
      <c r="Y49" s="5">
        <v>16</v>
      </c>
      <c r="Z49" s="5">
        <f t="shared" si="37"/>
        <v>80</v>
      </c>
      <c r="AA49" s="6">
        <f t="shared" si="45"/>
        <v>0.25</v>
      </c>
      <c r="AB49" s="5">
        <v>24</v>
      </c>
      <c r="AC49" s="5">
        <v>1</v>
      </c>
      <c r="AD49" s="5">
        <f t="shared" si="38"/>
        <v>25</v>
      </c>
      <c r="AE49" s="6">
        <f t="shared" ref="AE49:AE50" si="46">AC49/AB49</f>
        <v>4.1666666666666664E-2</v>
      </c>
      <c r="AF49" s="39">
        <f t="shared" si="29"/>
        <v>0.16666666666666666</v>
      </c>
      <c r="AH49" s="20">
        <v>1</v>
      </c>
      <c r="AI49" s="5">
        <f>29+9+33+16+15</f>
        <v>102</v>
      </c>
      <c r="AJ49" s="5">
        <f>7+6+3+13</f>
        <v>29</v>
      </c>
      <c r="AK49" s="5">
        <f t="shared" si="40"/>
        <v>131</v>
      </c>
      <c r="AL49" s="6">
        <f t="shared" si="30"/>
        <v>0.28431372549019607</v>
      </c>
      <c r="AM49" s="5">
        <f>19+44+11</f>
        <v>74</v>
      </c>
      <c r="AN49" s="5">
        <f>0</f>
        <v>0</v>
      </c>
      <c r="AO49" s="5">
        <f t="shared" si="41"/>
        <v>74</v>
      </c>
      <c r="AP49" s="27">
        <f t="shared" si="31"/>
        <v>0</v>
      </c>
      <c r="AQ49" s="36">
        <f t="shared" si="32"/>
        <v>0</v>
      </c>
    </row>
    <row r="50" spans="1:43" x14ac:dyDescent="0.25">
      <c r="A50" s="5">
        <v>8</v>
      </c>
      <c r="B50" s="5">
        <f>23+28+50</f>
        <v>101</v>
      </c>
      <c r="C50" s="5">
        <f>9+16+28</f>
        <v>53</v>
      </c>
      <c r="D50" s="5">
        <f t="shared" si="33"/>
        <v>154</v>
      </c>
      <c r="E50" s="6">
        <f t="shared" si="22"/>
        <v>0.52475247524752477</v>
      </c>
      <c r="F50" s="5">
        <f>105</f>
        <v>105</v>
      </c>
      <c r="G50" s="5">
        <f>39</f>
        <v>39</v>
      </c>
      <c r="H50" s="5">
        <f t="shared" si="34"/>
        <v>144</v>
      </c>
      <c r="I50" s="6">
        <f t="shared" si="23"/>
        <v>0.37142857142857144</v>
      </c>
      <c r="J50" s="39">
        <f t="shared" si="24"/>
        <v>0.70781671159029647</v>
      </c>
      <c r="L50" s="7">
        <v>3</v>
      </c>
      <c r="M50" s="5">
        <f>5+9+5+1+5</f>
        <v>25</v>
      </c>
      <c r="N50" s="5">
        <f>5+7+1+3+1</f>
        <v>17</v>
      </c>
      <c r="O50" s="5">
        <f t="shared" si="42"/>
        <v>42</v>
      </c>
      <c r="P50" s="6">
        <f t="shared" si="25"/>
        <v>0.68</v>
      </c>
      <c r="Q50" s="5">
        <f>5+11</f>
        <v>16</v>
      </c>
      <c r="R50" s="5">
        <f>7+1</f>
        <v>8</v>
      </c>
      <c r="S50" s="5">
        <f t="shared" si="36"/>
        <v>24</v>
      </c>
      <c r="T50" s="6">
        <f t="shared" si="26"/>
        <v>0.5</v>
      </c>
      <c r="U50" s="39">
        <f t="shared" si="27"/>
        <v>0.73529411764705876</v>
      </c>
      <c r="W50" s="67">
        <v>5</v>
      </c>
      <c r="X50" s="5">
        <v>101</v>
      </c>
      <c r="Y50" s="5">
        <v>45</v>
      </c>
      <c r="Z50" s="5">
        <f t="shared" si="37"/>
        <v>146</v>
      </c>
      <c r="AA50" s="6">
        <f t="shared" si="45"/>
        <v>0.44554455445544555</v>
      </c>
      <c r="AB50" s="5">
        <v>24</v>
      </c>
      <c r="AC50" s="5">
        <v>3</v>
      </c>
      <c r="AD50" s="5">
        <f t="shared" si="38"/>
        <v>27</v>
      </c>
      <c r="AE50" s="6">
        <f t="shared" si="46"/>
        <v>0.125</v>
      </c>
      <c r="AF50" s="36">
        <f t="shared" si="29"/>
        <v>0.28055555555555556</v>
      </c>
      <c r="AH50" s="16">
        <v>3</v>
      </c>
      <c r="AI50" s="5">
        <f>33+8+29+8+14</f>
        <v>92</v>
      </c>
      <c r="AJ50" s="5">
        <f>1+3+2+3+6</f>
        <v>15</v>
      </c>
      <c r="AK50" s="5">
        <f t="shared" si="40"/>
        <v>107</v>
      </c>
      <c r="AL50" s="6">
        <f t="shared" si="30"/>
        <v>0.16304347826086957</v>
      </c>
      <c r="AM50" s="5">
        <f>32+32</f>
        <v>64</v>
      </c>
      <c r="AN50" s="5">
        <f>0</f>
        <v>0</v>
      </c>
      <c r="AO50" s="5">
        <f t="shared" si="41"/>
        <v>64</v>
      </c>
      <c r="AP50" s="27">
        <f t="shared" si="31"/>
        <v>0</v>
      </c>
      <c r="AQ50" s="36">
        <f t="shared" si="32"/>
        <v>0</v>
      </c>
    </row>
    <row r="51" spans="1:43" x14ac:dyDescent="0.25">
      <c r="A51" s="5">
        <v>6</v>
      </c>
      <c r="B51" s="5">
        <v>41</v>
      </c>
      <c r="C51" s="5">
        <v>31</v>
      </c>
      <c r="D51" s="5">
        <f t="shared" si="33"/>
        <v>72</v>
      </c>
      <c r="E51" s="6">
        <f t="shared" si="22"/>
        <v>0.75609756097560976</v>
      </c>
      <c r="F51" s="5">
        <v>48</v>
      </c>
      <c r="G51" s="5">
        <v>22</v>
      </c>
      <c r="H51" s="5">
        <f t="shared" si="34"/>
        <v>70</v>
      </c>
      <c r="I51" s="6">
        <f t="shared" si="23"/>
        <v>0.45833333333333331</v>
      </c>
      <c r="J51" s="36">
        <f t="shared" si="24"/>
        <v>0.60618279569892475</v>
      </c>
      <c r="L51" s="26">
        <v>10</v>
      </c>
      <c r="M51" s="5">
        <f>39+19+25</f>
        <v>83</v>
      </c>
      <c r="N51" s="5">
        <f>30+7+18</f>
        <v>55</v>
      </c>
      <c r="O51" s="5">
        <f t="shared" si="42"/>
        <v>138</v>
      </c>
      <c r="P51" s="6">
        <f t="shared" si="25"/>
        <v>0.66265060240963858</v>
      </c>
      <c r="Q51" s="5">
        <f>29+23+2</f>
        <v>54</v>
      </c>
      <c r="R51" s="5">
        <f>17+8</f>
        <v>25</v>
      </c>
      <c r="S51" s="5">
        <f t="shared" si="36"/>
        <v>79</v>
      </c>
      <c r="T51" s="6">
        <f t="shared" si="26"/>
        <v>0.46296296296296297</v>
      </c>
      <c r="U51" s="36">
        <f t="shared" si="27"/>
        <v>0.69865319865319864</v>
      </c>
      <c r="W51" s="67">
        <v>9</v>
      </c>
      <c r="X51" s="5">
        <v>71</v>
      </c>
      <c r="Y51" s="5">
        <v>30</v>
      </c>
      <c r="Z51" s="5">
        <f t="shared" si="37"/>
        <v>101</v>
      </c>
      <c r="AA51" s="6">
        <f>Y51/X51</f>
        <v>0.42253521126760563</v>
      </c>
      <c r="AB51" s="5">
        <v>21</v>
      </c>
      <c r="AC51" s="5">
        <v>5</v>
      </c>
      <c r="AD51" s="5">
        <f t="shared" si="38"/>
        <v>26</v>
      </c>
      <c r="AE51" s="6">
        <f>AC51/AB51</f>
        <v>0.23809523809523808</v>
      </c>
      <c r="AF51" s="36">
        <f t="shared" si="29"/>
        <v>0.56349206349206349</v>
      </c>
      <c r="AH51" s="20">
        <v>4</v>
      </c>
      <c r="AI51" s="5">
        <f>36+9+32+17+12</f>
        <v>106</v>
      </c>
      <c r="AJ51" s="5">
        <f>1+6+3+12+9</f>
        <v>31</v>
      </c>
      <c r="AK51" s="5">
        <f t="shared" si="40"/>
        <v>137</v>
      </c>
      <c r="AL51" s="6">
        <f t="shared" si="30"/>
        <v>0.29245283018867924</v>
      </c>
      <c r="AM51" s="5">
        <f>19+46+7</f>
        <v>72</v>
      </c>
      <c r="AN51" s="5">
        <f>0</f>
        <v>0</v>
      </c>
      <c r="AO51" s="5">
        <f t="shared" si="41"/>
        <v>72</v>
      </c>
      <c r="AP51" s="27">
        <f t="shared" si="31"/>
        <v>0</v>
      </c>
      <c r="AQ51" s="36">
        <f t="shared" si="32"/>
        <v>0</v>
      </c>
    </row>
    <row r="52" spans="1:43" ht="15.75" thickBot="1" x14ac:dyDescent="0.3">
      <c r="A52" s="5">
        <v>5</v>
      </c>
      <c r="B52" s="5">
        <f>30+9+8</f>
        <v>47</v>
      </c>
      <c r="C52" s="5">
        <f>15+8+7</f>
        <v>30</v>
      </c>
      <c r="D52" s="5">
        <f t="shared" si="33"/>
        <v>77</v>
      </c>
      <c r="E52" s="6">
        <f t="shared" si="22"/>
        <v>0.63829787234042556</v>
      </c>
      <c r="F52" s="5">
        <f>16</f>
        <v>16</v>
      </c>
      <c r="G52" s="5">
        <f>6</f>
        <v>6</v>
      </c>
      <c r="H52" s="5">
        <f t="shared" si="34"/>
        <v>22</v>
      </c>
      <c r="I52" s="6">
        <f t="shared" si="23"/>
        <v>0.375</v>
      </c>
      <c r="J52" s="36">
        <f t="shared" si="24"/>
        <v>0.58750000000000002</v>
      </c>
      <c r="L52" s="7">
        <v>3</v>
      </c>
      <c r="M52" s="5">
        <f>17+49+27</f>
        <v>93</v>
      </c>
      <c r="N52" s="5">
        <f>33+24+16</f>
        <v>73</v>
      </c>
      <c r="O52" s="5">
        <f t="shared" si="42"/>
        <v>166</v>
      </c>
      <c r="P52" s="6">
        <f t="shared" si="25"/>
        <v>0.78494623655913975</v>
      </c>
      <c r="Q52" s="5">
        <f>50+5</f>
        <v>55</v>
      </c>
      <c r="R52" s="5">
        <f>29</f>
        <v>29</v>
      </c>
      <c r="S52" s="5">
        <f t="shared" si="36"/>
        <v>84</v>
      </c>
      <c r="T52" s="6">
        <f t="shared" si="26"/>
        <v>0.52727272727272723</v>
      </c>
      <c r="U52" s="36">
        <f t="shared" si="27"/>
        <v>0.67173100871731006</v>
      </c>
      <c r="W52" s="67">
        <v>10</v>
      </c>
      <c r="X52" s="5">
        <v>68</v>
      </c>
      <c r="Y52" s="5">
        <v>39</v>
      </c>
      <c r="Z52" s="5">
        <f t="shared" si="37"/>
        <v>107</v>
      </c>
      <c r="AA52" s="6">
        <f>Y52/X52</f>
        <v>0.57352941176470584</v>
      </c>
      <c r="AB52" s="5">
        <v>18</v>
      </c>
      <c r="AC52" s="5">
        <v>6</v>
      </c>
      <c r="AD52" s="5">
        <f t="shared" si="38"/>
        <v>24</v>
      </c>
      <c r="AE52" s="6">
        <f>AC52/AB52</f>
        <v>0.33333333333333331</v>
      </c>
      <c r="AF52" s="36">
        <f t="shared" si="29"/>
        <v>0.58119658119658124</v>
      </c>
      <c r="AH52" s="20">
        <v>6</v>
      </c>
      <c r="AI52" s="5">
        <f>27+7+25+16+11</f>
        <v>86</v>
      </c>
      <c r="AJ52" s="5">
        <f>4+4+4+3</f>
        <v>15</v>
      </c>
      <c r="AK52" s="5">
        <f t="shared" si="40"/>
        <v>101</v>
      </c>
      <c r="AL52" s="6">
        <f t="shared" si="30"/>
        <v>0.1744186046511628</v>
      </c>
      <c r="AM52" s="5">
        <f>40+48+5</f>
        <v>93</v>
      </c>
      <c r="AN52" s="5">
        <f>0</f>
        <v>0</v>
      </c>
      <c r="AO52" s="5">
        <f t="shared" si="41"/>
        <v>93</v>
      </c>
      <c r="AP52" s="27">
        <f t="shared" si="31"/>
        <v>0</v>
      </c>
      <c r="AQ52" s="36">
        <f t="shared" si="32"/>
        <v>0</v>
      </c>
    </row>
    <row r="53" spans="1:43" ht="15.75" thickBot="1" x14ac:dyDescent="0.3">
      <c r="A53" s="5">
        <v>2</v>
      </c>
      <c r="B53" s="5">
        <v>51</v>
      </c>
      <c r="C53" s="5">
        <v>26</v>
      </c>
      <c r="D53" s="5">
        <f t="shared" si="33"/>
        <v>77</v>
      </c>
      <c r="E53" s="6">
        <f t="shared" si="22"/>
        <v>0.50980392156862742</v>
      </c>
      <c r="F53" s="5">
        <v>44</v>
      </c>
      <c r="G53" s="5">
        <v>12</v>
      </c>
      <c r="H53" s="5">
        <f t="shared" si="34"/>
        <v>56</v>
      </c>
      <c r="I53" s="6">
        <f t="shared" si="23"/>
        <v>0.27272727272727271</v>
      </c>
      <c r="J53" s="36">
        <f t="shared" si="24"/>
        <v>0.534965034965035</v>
      </c>
      <c r="L53" s="26">
        <v>2</v>
      </c>
      <c r="M53" s="5">
        <f>26+24+22</f>
        <v>72</v>
      </c>
      <c r="N53" s="5">
        <f>20+11+14</f>
        <v>45</v>
      </c>
      <c r="O53" s="5">
        <f t="shared" si="42"/>
        <v>117</v>
      </c>
      <c r="P53" s="6">
        <f t="shared" si="25"/>
        <v>0.625</v>
      </c>
      <c r="Q53" s="5">
        <f>26+4</f>
        <v>30</v>
      </c>
      <c r="R53" s="5">
        <f>12</f>
        <v>12</v>
      </c>
      <c r="S53" s="5">
        <f t="shared" si="36"/>
        <v>42</v>
      </c>
      <c r="T53" s="6">
        <f t="shared" si="26"/>
        <v>0.4</v>
      </c>
      <c r="U53" s="36">
        <f t="shared" si="27"/>
        <v>0.64</v>
      </c>
      <c r="W53" s="22">
        <f>COUNT(W36:W52)</f>
        <v>17</v>
      </c>
      <c r="X53" s="25">
        <f>SUM(X36:X52)</f>
        <v>1478</v>
      </c>
      <c r="Y53" s="25">
        <f>SUM(Y36:Y52)</f>
        <v>641</v>
      </c>
      <c r="Z53" s="25"/>
      <c r="AA53" s="24">
        <f>AVERAGE(AA36:AA52)</f>
        <v>0.42897089126177329</v>
      </c>
      <c r="AB53" s="25">
        <f>SUM(AB36:AB52)</f>
        <v>742</v>
      </c>
      <c r="AC53" s="25">
        <f>SUM(AC36:AC52)</f>
        <v>117</v>
      </c>
      <c r="AD53" s="25"/>
      <c r="AE53" s="24">
        <f>AVERAGE(AE36:AE52)</f>
        <v>0.16120166851636911</v>
      </c>
      <c r="AF53" s="24">
        <f>AVERAGE(AF36:AF52)</f>
        <v>0.38209953267141622</v>
      </c>
      <c r="AH53" s="20">
        <v>7</v>
      </c>
      <c r="AI53" s="5">
        <f>4+5+29+12+9</f>
        <v>59</v>
      </c>
      <c r="AJ53" s="5">
        <f>5+5+7+2</f>
        <v>19</v>
      </c>
      <c r="AK53" s="5">
        <f t="shared" si="40"/>
        <v>78</v>
      </c>
      <c r="AL53" s="6">
        <f t="shared" si="30"/>
        <v>0.32203389830508472</v>
      </c>
      <c r="AM53" s="5">
        <f>22+46+2</f>
        <v>70</v>
      </c>
      <c r="AN53" s="5">
        <f>0</f>
        <v>0</v>
      </c>
      <c r="AO53" s="5">
        <f t="shared" si="41"/>
        <v>70</v>
      </c>
      <c r="AP53" s="27">
        <f t="shared" si="31"/>
        <v>0</v>
      </c>
      <c r="AQ53" s="36">
        <f t="shared" si="32"/>
        <v>0</v>
      </c>
    </row>
    <row r="54" spans="1:43" ht="15.75" thickBot="1" x14ac:dyDescent="0.3">
      <c r="A54" s="5">
        <v>3</v>
      </c>
      <c r="B54" s="5">
        <v>47</v>
      </c>
      <c r="C54" s="5">
        <v>33</v>
      </c>
      <c r="D54" s="5">
        <f t="shared" si="33"/>
        <v>80</v>
      </c>
      <c r="E54" s="6">
        <f t="shared" si="22"/>
        <v>0.7021276595744681</v>
      </c>
      <c r="F54" s="5">
        <v>43</v>
      </c>
      <c r="G54" s="5">
        <v>16</v>
      </c>
      <c r="H54" s="5">
        <f t="shared" si="34"/>
        <v>59</v>
      </c>
      <c r="I54" s="6">
        <f t="shared" si="23"/>
        <v>0.37209302325581395</v>
      </c>
      <c r="J54" s="36">
        <f t="shared" si="24"/>
        <v>0.52995066948555314</v>
      </c>
      <c r="L54" s="26">
        <v>1</v>
      </c>
      <c r="M54" s="5">
        <f>24+9+34</f>
        <v>67</v>
      </c>
      <c r="N54" s="5">
        <f>19+18+24</f>
        <v>61</v>
      </c>
      <c r="O54" s="5">
        <f t="shared" si="42"/>
        <v>128</v>
      </c>
      <c r="P54" s="6">
        <f t="shared" si="25"/>
        <v>0.91044776119402981</v>
      </c>
      <c r="Q54" s="5">
        <f>35+35+15</f>
        <v>85</v>
      </c>
      <c r="R54" s="5">
        <f>17+23+9</f>
        <v>49</v>
      </c>
      <c r="S54" s="5">
        <f t="shared" si="36"/>
        <v>134</v>
      </c>
      <c r="T54" s="6">
        <f t="shared" si="26"/>
        <v>0.57647058823529407</v>
      </c>
      <c r="U54" s="36">
        <f t="shared" si="27"/>
        <v>0.63317261330761809</v>
      </c>
      <c r="AF54" s="24">
        <f>STDEV(AF36:AF52)</f>
        <v>0.22608419644793307</v>
      </c>
      <c r="AH54" s="20">
        <v>8</v>
      </c>
      <c r="AI54" s="5">
        <f>9+2+26+16+8</f>
        <v>61</v>
      </c>
      <c r="AJ54" s="5">
        <f>3+12+6+3</f>
        <v>24</v>
      </c>
      <c r="AK54" s="5">
        <f t="shared" si="40"/>
        <v>85</v>
      </c>
      <c r="AL54" s="6">
        <f t="shared" si="30"/>
        <v>0.39344262295081966</v>
      </c>
      <c r="AM54" s="5">
        <f>31+39</f>
        <v>70</v>
      </c>
      <c r="AN54" s="5">
        <f>0</f>
        <v>0</v>
      </c>
      <c r="AO54" s="5">
        <f t="shared" si="41"/>
        <v>70</v>
      </c>
      <c r="AP54" s="27">
        <f t="shared" si="31"/>
        <v>0</v>
      </c>
      <c r="AQ54" s="36">
        <f t="shared" si="32"/>
        <v>0</v>
      </c>
    </row>
    <row r="55" spans="1:43" ht="15.75" thickBot="1" x14ac:dyDescent="0.3">
      <c r="A55" s="5">
        <v>1</v>
      </c>
      <c r="B55" s="5">
        <f>25+16+44</f>
        <v>85</v>
      </c>
      <c r="C55" s="5">
        <f>9+9+21</f>
        <v>39</v>
      </c>
      <c r="D55" s="5">
        <f t="shared" si="33"/>
        <v>124</v>
      </c>
      <c r="E55" s="6">
        <f t="shared" si="22"/>
        <v>0.45882352941176469</v>
      </c>
      <c r="F55" s="5">
        <f>34+13+14</f>
        <v>61</v>
      </c>
      <c r="G55" s="5">
        <f>11+2</f>
        <v>13</v>
      </c>
      <c r="H55" s="5">
        <f t="shared" si="34"/>
        <v>74</v>
      </c>
      <c r="I55" s="6">
        <f t="shared" si="23"/>
        <v>0.21311475409836064</v>
      </c>
      <c r="J55" s="39">
        <f t="shared" si="24"/>
        <v>0.46448087431693991</v>
      </c>
      <c r="L55" s="26">
        <v>8</v>
      </c>
      <c r="M55" s="5">
        <f>12+10+20+22+5</f>
        <v>69</v>
      </c>
      <c r="N55" s="5">
        <f>6+13+10+2+10</f>
        <v>41</v>
      </c>
      <c r="O55" s="5">
        <f t="shared" si="42"/>
        <v>110</v>
      </c>
      <c r="P55" s="6">
        <f t="shared" si="25"/>
        <v>0.59420289855072461</v>
      </c>
      <c r="Q55" s="5">
        <f>6+13</f>
        <v>19</v>
      </c>
      <c r="R55" s="5">
        <f>5+2</f>
        <v>7</v>
      </c>
      <c r="S55" s="5">
        <f t="shared" si="36"/>
        <v>26</v>
      </c>
      <c r="T55" s="6">
        <f t="shared" si="26"/>
        <v>0.36842105263157893</v>
      </c>
      <c r="U55" s="36">
        <f t="shared" si="27"/>
        <v>0.62002567394094987</v>
      </c>
      <c r="AF55" s="24">
        <f>AF54/SQRT(W53)</f>
        <v>5.4833471896336534E-2</v>
      </c>
      <c r="AH55" s="20">
        <v>1</v>
      </c>
      <c r="AI55" s="5">
        <f>16+44+22+14</f>
        <v>96</v>
      </c>
      <c r="AJ55" s="5">
        <f>2+1+1+7</f>
        <v>11</v>
      </c>
      <c r="AK55" s="5">
        <f t="shared" si="40"/>
        <v>107</v>
      </c>
      <c r="AL55" s="6">
        <f t="shared" si="30"/>
        <v>0.11458333333333333</v>
      </c>
      <c r="AM55" s="5">
        <f>18+58+12</f>
        <v>88</v>
      </c>
      <c r="AN55" s="5">
        <v>0</v>
      </c>
      <c r="AO55" s="5">
        <f t="shared" si="41"/>
        <v>88</v>
      </c>
      <c r="AP55" s="27">
        <f t="shared" si="31"/>
        <v>0</v>
      </c>
      <c r="AQ55" s="36">
        <f t="shared" si="32"/>
        <v>0</v>
      </c>
    </row>
    <row r="56" spans="1:43" ht="15.75" thickBot="1" x14ac:dyDescent="0.3">
      <c r="A56" s="5">
        <v>5</v>
      </c>
      <c r="B56" s="5">
        <v>63</v>
      </c>
      <c r="C56" s="5">
        <v>54</v>
      </c>
      <c r="D56" s="5">
        <f t="shared" si="33"/>
        <v>117</v>
      </c>
      <c r="E56" s="6">
        <f t="shared" si="22"/>
        <v>0.8571428571428571</v>
      </c>
      <c r="F56" s="5">
        <v>53</v>
      </c>
      <c r="G56" s="5">
        <v>20</v>
      </c>
      <c r="H56" s="5">
        <f t="shared" si="34"/>
        <v>73</v>
      </c>
      <c r="I56" s="6">
        <f t="shared" si="23"/>
        <v>0.37735849056603776</v>
      </c>
      <c r="J56" s="36">
        <f t="shared" si="24"/>
        <v>0.44025157232704409</v>
      </c>
      <c r="L56" s="26">
        <v>1</v>
      </c>
      <c r="M56" s="5">
        <f>26+25+21</f>
        <v>72</v>
      </c>
      <c r="N56" s="5">
        <f>26+16+24</f>
        <v>66</v>
      </c>
      <c r="O56" s="5">
        <f t="shared" si="42"/>
        <v>138</v>
      </c>
      <c r="P56" s="6">
        <f t="shared" si="25"/>
        <v>0.91666666666666663</v>
      </c>
      <c r="Q56" s="5">
        <f>27+33+11</f>
        <v>71</v>
      </c>
      <c r="R56" s="5">
        <f>9+20+11</f>
        <v>40</v>
      </c>
      <c r="S56" s="5">
        <f t="shared" si="36"/>
        <v>111</v>
      </c>
      <c r="T56" s="6">
        <f t="shared" si="26"/>
        <v>0.56338028169014087</v>
      </c>
      <c r="U56" s="36">
        <f t="shared" si="27"/>
        <v>0.61459667093469916</v>
      </c>
      <c r="AH56" s="20">
        <v>2</v>
      </c>
      <c r="AI56" s="5">
        <f>3+17+17+12</f>
        <v>49</v>
      </c>
      <c r="AJ56" s="5">
        <f>1+4+6+6</f>
        <v>17</v>
      </c>
      <c r="AK56" s="5">
        <f t="shared" si="40"/>
        <v>66</v>
      </c>
      <c r="AL56" s="6">
        <f t="shared" si="30"/>
        <v>0.34693877551020408</v>
      </c>
      <c r="AM56" s="5">
        <f>17+50+3</f>
        <v>70</v>
      </c>
      <c r="AN56" s="5">
        <v>0</v>
      </c>
      <c r="AO56" s="5">
        <f t="shared" si="41"/>
        <v>70</v>
      </c>
      <c r="AP56" s="27">
        <f t="shared" si="31"/>
        <v>0</v>
      </c>
      <c r="AQ56" s="36">
        <f t="shared" si="32"/>
        <v>0</v>
      </c>
    </row>
    <row r="57" spans="1:43" ht="15.75" thickBot="1" x14ac:dyDescent="0.3">
      <c r="A57" s="5">
        <v>1</v>
      </c>
      <c r="B57" s="5">
        <f>16+14+37</f>
        <v>67</v>
      </c>
      <c r="C57" s="5">
        <f>8+9+36</f>
        <v>53</v>
      </c>
      <c r="D57" s="5">
        <f t="shared" si="33"/>
        <v>120</v>
      </c>
      <c r="E57" s="6">
        <f t="shared" si="22"/>
        <v>0.79104477611940294</v>
      </c>
      <c r="F57" s="5">
        <f>89</f>
        <v>89</v>
      </c>
      <c r="G57" s="5">
        <f>28</f>
        <v>28</v>
      </c>
      <c r="H57" s="5">
        <f t="shared" si="34"/>
        <v>117</v>
      </c>
      <c r="I57" s="6">
        <f t="shared" si="23"/>
        <v>0.3146067415730337</v>
      </c>
      <c r="J57" s="36">
        <f t="shared" si="24"/>
        <v>0.39771040915836336</v>
      </c>
      <c r="L57" s="26">
        <v>6</v>
      </c>
      <c r="M57" s="5">
        <f>11+36+35</f>
        <v>82</v>
      </c>
      <c r="N57" s="5">
        <f>13+19+14</f>
        <v>46</v>
      </c>
      <c r="O57" s="5">
        <f t="shared" si="42"/>
        <v>128</v>
      </c>
      <c r="P57" s="6">
        <f t="shared" si="25"/>
        <v>0.56097560975609762</v>
      </c>
      <c r="Q57" s="5">
        <f>27+27+17</f>
        <v>71</v>
      </c>
      <c r="R57" s="5">
        <f>3+14+7</f>
        <v>24</v>
      </c>
      <c r="S57" s="5">
        <f t="shared" si="36"/>
        <v>95</v>
      </c>
      <c r="T57" s="6">
        <f t="shared" si="26"/>
        <v>0.3380281690140845</v>
      </c>
      <c r="U57" s="39">
        <f t="shared" si="27"/>
        <v>0.60257195345988968</v>
      </c>
      <c r="W57" s="210" t="s">
        <v>18</v>
      </c>
      <c r="X57" s="210"/>
      <c r="Y57" s="211"/>
      <c r="Z57" s="118">
        <f>AB53/X53</f>
        <v>0.50202976995940463</v>
      </c>
      <c r="AH57" s="20">
        <v>4</v>
      </c>
      <c r="AI57" s="5">
        <f>29+21+27+21</f>
        <v>98</v>
      </c>
      <c r="AJ57" s="5">
        <f>2+3+9</f>
        <v>14</v>
      </c>
      <c r="AK57" s="5">
        <f t="shared" si="40"/>
        <v>112</v>
      </c>
      <c r="AL57" s="6">
        <f t="shared" si="30"/>
        <v>0.14285714285714285</v>
      </c>
      <c r="AM57" s="5">
        <f>22+53+10</f>
        <v>85</v>
      </c>
      <c r="AN57" s="5">
        <v>0</v>
      </c>
      <c r="AO57" s="5">
        <f t="shared" si="41"/>
        <v>85</v>
      </c>
      <c r="AP57" s="27">
        <f t="shared" si="31"/>
        <v>0</v>
      </c>
      <c r="AQ57" s="36">
        <f t="shared" si="32"/>
        <v>0</v>
      </c>
    </row>
    <row r="58" spans="1:43" x14ac:dyDescent="0.25">
      <c r="A58" s="5">
        <v>9</v>
      </c>
      <c r="B58" s="5">
        <v>59</v>
      </c>
      <c r="C58" s="5">
        <v>40</v>
      </c>
      <c r="D58" s="5">
        <f t="shared" si="33"/>
        <v>99</v>
      </c>
      <c r="E58" s="6">
        <f t="shared" si="22"/>
        <v>0.67796610169491522</v>
      </c>
      <c r="F58" s="5">
        <v>53</v>
      </c>
      <c r="G58" s="5">
        <v>14</v>
      </c>
      <c r="H58" s="5">
        <f t="shared" si="34"/>
        <v>67</v>
      </c>
      <c r="I58" s="6">
        <f t="shared" si="23"/>
        <v>0.26415094339622641</v>
      </c>
      <c r="J58" s="36">
        <f t="shared" si="24"/>
        <v>0.38962264150943399</v>
      </c>
      <c r="L58" s="26">
        <v>2</v>
      </c>
      <c r="M58" s="5">
        <f>22+12+28+17+23</f>
        <v>102</v>
      </c>
      <c r="N58" s="5">
        <f>10+24+13+6+12</f>
        <v>65</v>
      </c>
      <c r="O58" s="5">
        <f t="shared" si="42"/>
        <v>167</v>
      </c>
      <c r="P58" s="6">
        <f t="shared" si="25"/>
        <v>0.63725490196078427</v>
      </c>
      <c r="Q58" s="5">
        <f>21+40+39</f>
        <v>100</v>
      </c>
      <c r="R58" s="5">
        <f>6+12+17</f>
        <v>35</v>
      </c>
      <c r="S58" s="5">
        <f t="shared" si="36"/>
        <v>135</v>
      </c>
      <c r="T58" s="6">
        <f t="shared" si="26"/>
        <v>0.35</v>
      </c>
      <c r="U58" s="36">
        <f t="shared" si="27"/>
        <v>0.54923076923076919</v>
      </c>
      <c r="AH58" s="20">
        <v>5</v>
      </c>
      <c r="AI58" s="5">
        <f>17+34+12+13</f>
        <v>76</v>
      </c>
      <c r="AJ58" s="5">
        <f>1+1+1+7</f>
        <v>10</v>
      </c>
      <c r="AK58" s="5">
        <f t="shared" si="40"/>
        <v>86</v>
      </c>
      <c r="AL58" s="6">
        <f t="shared" si="30"/>
        <v>0.13157894736842105</v>
      </c>
      <c r="AM58" s="5">
        <f>18+23+2</f>
        <v>43</v>
      </c>
      <c r="AN58" s="5">
        <v>0</v>
      </c>
      <c r="AO58" s="5">
        <f t="shared" si="41"/>
        <v>43</v>
      </c>
      <c r="AP58" s="27">
        <f t="shared" si="31"/>
        <v>0</v>
      </c>
      <c r="AQ58" s="36">
        <f t="shared" si="32"/>
        <v>0</v>
      </c>
    </row>
    <row r="59" spans="1:43" ht="15.75" thickBot="1" x14ac:dyDescent="0.3">
      <c r="A59" s="5">
        <v>1</v>
      </c>
      <c r="B59" s="5">
        <v>45</v>
      </c>
      <c r="C59" s="5">
        <v>36</v>
      </c>
      <c r="D59" s="5">
        <f t="shared" si="33"/>
        <v>81</v>
      </c>
      <c r="E59" s="6">
        <f t="shared" si="22"/>
        <v>0.8</v>
      </c>
      <c r="F59" s="5">
        <v>32</v>
      </c>
      <c r="G59" s="5">
        <v>7</v>
      </c>
      <c r="H59" s="5">
        <f t="shared" si="34"/>
        <v>39</v>
      </c>
      <c r="I59" s="6">
        <f t="shared" si="23"/>
        <v>0.21875</v>
      </c>
      <c r="J59" s="37">
        <f t="shared" si="24"/>
        <v>0.2734375</v>
      </c>
      <c r="L59" s="26">
        <v>8</v>
      </c>
      <c r="M59" s="5">
        <f>29+29+27</f>
        <v>85</v>
      </c>
      <c r="N59" s="5">
        <f>21+21+17</f>
        <v>59</v>
      </c>
      <c r="O59" s="5">
        <f t="shared" si="42"/>
        <v>144</v>
      </c>
      <c r="P59" s="6">
        <f t="shared" si="25"/>
        <v>0.69411764705882351</v>
      </c>
      <c r="Q59" s="5">
        <f>45+23</f>
        <v>68</v>
      </c>
      <c r="R59" s="5">
        <f>9+13</f>
        <v>22</v>
      </c>
      <c r="S59" s="5">
        <f t="shared" si="36"/>
        <v>90</v>
      </c>
      <c r="T59" s="6">
        <f t="shared" si="26"/>
        <v>0.3235294117647059</v>
      </c>
      <c r="U59" s="36">
        <f t="shared" si="27"/>
        <v>0.46610169491525427</v>
      </c>
      <c r="AH59" s="20">
        <v>6</v>
      </c>
      <c r="AI59" s="5">
        <f>21+55+10+14</f>
        <v>100</v>
      </c>
      <c r="AJ59" s="5">
        <f>1+5</f>
        <v>6</v>
      </c>
      <c r="AK59" s="5">
        <f t="shared" si="40"/>
        <v>106</v>
      </c>
      <c r="AL59" s="6">
        <f t="shared" si="30"/>
        <v>0.06</v>
      </c>
      <c r="AM59" s="5">
        <f>18+44+10</f>
        <v>72</v>
      </c>
      <c r="AN59" s="5">
        <v>0</v>
      </c>
      <c r="AO59" s="5">
        <f t="shared" si="41"/>
        <v>72</v>
      </c>
      <c r="AP59" s="27">
        <f t="shared" si="31"/>
        <v>0</v>
      </c>
      <c r="AQ59" s="36">
        <f t="shared" si="32"/>
        <v>0</v>
      </c>
    </row>
    <row r="60" spans="1:43" ht="15.75" thickBot="1" x14ac:dyDescent="0.3">
      <c r="A60" s="22">
        <f>COUNT(A36:A59)</f>
        <v>24</v>
      </c>
      <c r="B60" s="25">
        <f>SUM(B36:B59)</f>
        <v>1711</v>
      </c>
      <c r="C60" s="25">
        <f>SUM(C36:C59)</f>
        <v>1014</v>
      </c>
      <c r="D60" s="25"/>
      <c r="E60" s="24">
        <f>AVERAGE(E36:E59)</f>
        <v>0.61208157297171184</v>
      </c>
      <c r="F60" s="23">
        <f>SUM(F36:F59)</f>
        <v>1353</v>
      </c>
      <c r="G60" s="23">
        <f>SUM(G36:G59)</f>
        <v>567</v>
      </c>
      <c r="H60" s="23"/>
      <c r="I60" s="24">
        <f>AVERAGE(I36:I59)</f>
        <v>0.42393771399039726</v>
      </c>
      <c r="J60" s="24">
        <f>AVERAGE(J36:J59)</f>
        <v>0.7200735810682537</v>
      </c>
      <c r="L60" s="26">
        <v>6</v>
      </c>
      <c r="M60" s="5">
        <f>13+7+17+13+12</f>
        <v>62</v>
      </c>
      <c r="N60" s="5">
        <f>3+7+12+7+5</f>
        <v>34</v>
      </c>
      <c r="O60" s="5">
        <f t="shared" si="42"/>
        <v>96</v>
      </c>
      <c r="P60" s="6">
        <f t="shared" si="25"/>
        <v>0.54838709677419351</v>
      </c>
      <c r="Q60" s="5">
        <f>13+22+3</f>
        <v>38</v>
      </c>
      <c r="R60" s="5">
        <f>2+13+2</f>
        <v>17</v>
      </c>
      <c r="S60" s="5">
        <f t="shared" si="36"/>
        <v>55</v>
      </c>
      <c r="T60" s="6">
        <v>0</v>
      </c>
      <c r="U60" s="36">
        <f t="shared" si="27"/>
        <v>0</v>
      </c>
      <c r="AH60" s="20">
        <v>7</v>
      </c>
      <c r="AI60" s="5">
        <f>11+33+9+12</f>
        <v>65</v>
      </c>
      <c r="AJ60" s="5">
        <v>3</v>
      </c>
      <c r="AK60" s="5">
        <f t="shared" si="40"/>
        <v>68</v>
      </c>
      <c r="AL60" s="6">
        <f t="shared" si="30"/>
        <v>4.6153846153846156E-2</v>
      </c>
      <c r="AM60" s="5">
        <f>13+38+18</f>
        <v>69</v>
      </c>
      <c r="AN60" s="5">
        <v>0</v>
      </c>
      <c r="AO60" s="5">
        <f t="shared" si="41"/>
        <v>69</v>
      </c>
      <c r="AP60" s="27">
        <f t="shared" si="31"/>
        <v>0</v>
      </c>
      <c r="AQ60" s="36">
        <f t="shared" si="32"/>
        <v>0</v>
      </c>
    </row>
    <row r="61" spans="1:43" ht="15.75" thickBot="1" x14ac:dyDescent="0.3">
      <c r="J61" s="24">
        <f>STDEV(J36:J59)</f>
        <v>0.24683958674117892</v>
      </c>
      <c r="L61" s="22">
        <f>COUNT(L36:L60)</f>
        <v>25</v>
      </c>
      <c r="M61" s="25">
        <f>SUM(M36:M60)</f>
        <v>2061</v>
      </c>
      <c r="N61" s="25">
        <f>SUM(N36:N60)</f>
        <v>1225</v>
      </c>
      <c r="O61" s="25"/>
      <c r="P61" s="24">
        <f>AVERAGE(P36:P60)</f>
        <v>0.60358291333191616</v>
      </c>
      <c r="Q61" s="25">
        <f>SUM(Q36:Q60)</f>
        <v>1434</v>
      </c>
      <c r="R61" s="25">
        <f>SUM(R36:R60)</f>
        <v>689</v>
      </c>
      <c r="S61" s="25"/>
      <c r="T61" s="24">
        <f>AVERAGE(T36:T60)</f>
        <v>0.46722113407708027</v>
      </c>
      <c r="U61" s="24">
        <f>AVERAGE(U36:U60)</f>
        <v>0.79902765561589406</v>
      </c>
      <c r="AH61" s="20">
        <v>8</v>
      </c>
      <c r="AI61" s="5">
        <f>22+43+15+9</f>
        <v>89</v>
      </c>
      <c r="AJ61" s="5">
        <f>1+5</f>
        <v>6</v>
      </c>
      <c r="AK61" s="5">
        <f t="shared" si="40"/>
        <v>95</v>
      </c>
      <c r="AL61" s="6">
        <f t="shared" si="30"/>
        <v>6.741573033707865E-2</v>
      </c>
      <c r="AM61" s="5">
        <f>20+31+13</f>
        <v>64</v>
      </c>
      <c r="AN61" s="5">
        <v>0</v>
      </c>
      <c r="AO61" s="5">
        <f t="shared" si="41"/>
        <v>64</v>
      </c>
      <c r="AP61" s="27">
        <f t="shared" si="31"/>
        <v>0</v>
      </c>
      <c r="AQ61" s="36">
        <f t="shared" si="32"/>
        <v>0</v>
      </c>
    </row>
    <row r="62" spans="1:43" ht="15.75" thickBot="1" x14ac:dyDescent="0.3">
      <c r="J62" s="24">
        <f>J61/SQRT(A60)</f>
        <v>5.0385919652946365E-2</v>
      </c>
      <c r="U62" s="24">
        <f>STDEV(U36:U60)</f>
        <v>0.28721606448484949</v>
      </c>
      <c r="AH62" s="20">
        <v>9</v>
      </c>
      <c r="AI62" s="5">
        <f>25+40+19+10</f>
        <v>94</v>
      </c>
      <c r="AJ62" s="5">
        <f>3+1+2</f>
        <v>6</v>
      </c>
      <c r="AK62" s="5">
        <f t="shared" si="40"/>
        <v>100</v>
      </c>
      <c r="AL62" s="6">
        <f t="shared" si="30"/>
        <v>6.3829787234042548E-2</v>
      </c>
      <c r="AM62" s="5">
        <f>14+38+16</f>
        <v>68</v>
      </c>
      <c r="AN62" s="5">
        <v>0</v>
      </c>
      <c r="AO62" s="5">
        <f t="shared" si="41"/>
        <v>68</v>
      </c>
      <c r="AP62" s="27">
        <f t="shared" si="31"/>
        <v>0</v>
      </c>
      <c r="AQ62" s="36">
        <f t="shared" si="32"/>
        <v>0</v>
      </c>
    </row>
    <row r="63" spans="1:43" ht="15.75" thickBot="1" x14ac:dyDescent="0.3">
      <c r="U63" s="24">
        <f>U62/SQRT(L61)</f>
        <v>5.7443212896969895E-2</v>
      </c>
      <c r="AH63" s="21">
        <v>10</v>
      </c>
      <c r="AI63" s="13">
        <f>19+43+9+13</f>
        <v>84</v>
      </c>
      <c r="AJ63" s="13">
        <f>3+3+2+6</f>
        <v>14</v>
      </c>
      <c r="AK63" s="5">
        <f t="shared" si="40"/>
        <v>98</v>
      </c>
      <c r="AL63" s="14">
        <f t="shared" si="30"/>
        <v>0.16666666666666666</v>
      </c>
      <c r="AM63" s="13">
        <f>28+46+8</f>
        <v>82</v>
      </c>
      <c r="AN63" s="13">
        <v>0</v>
      </c>
      <c r="AO63" s="5">
        <f t="shared" si="41"/>
        <v>82</v>
      </c>
      <c r="AP63" s="34">
        <f t="shared" si="31"/>
        <v>0</v>
      </c>
      <c r="AQ63" s="37">
        <f t="shared" si="32"/>
        <v>0</v>
      </c>
    </row>
    <row r="64" spans="1:43" ht="15.75" thickBot="1" x14ac:dyDescent="0.3">
      <c r="AH64" s="22">
        <f>COUNT(AH36:AH63)</f>
        <v>28</v>
      </c>
      <c r="AI64" s="25">
        <f>SUM(AI36:AI63)</f>
        <v>2130</v>
      </c>
      <c r="AJ64" s="25">
        <f>SUM(AJ36:AJ63)</f>
        <v>504</v>
      </c>
      <c r="AK64" s="25"/>
      <c r="AL64" s="24">
        <f>AVERAGE(AL36:AL63)</f>
        <v>0.27224531803916685</v>
      </c>
      <c r="AM64" s="25">
        <f>SUM(AM36:AM63)</f>
        <v>1731</v>
      </c>
      <c r="AN64" s="25">
        <f>SUM(AN36:AN63)</f>
        <v>20</v>
      </c>
      <c r="AO64" s="25"/>
      <c r="AP64" s="24">
        <f>AVERAGE(AP36:AP63)</f>
        <v>1.948610787301781E-2</v>
      </c>
      <c r="AQ64" s="24">
        <f>AVERAGE(AQ36:AQ63)</f>
        <v>5.6269855929493816E-2</v>
      </c>
    </row>
    <row r="65" spans="1:43" ht="15.75" thickBot="1" x14ac:dyDescent="0.3">
      <c r="AQ65" s="24">
        <f>STDEV(AQ36:AQ63)</f>
        <v>9.4755459618798346E-2</v>
      </c>
    </row>
    <row r="66" spans="1:43" ht="15.75" thickBot="1" x14ac:dyDescent="0.3">
      <c r="AQ66" s="24">
        <f>AQ65/SQRT(AH64)</f>
        <v>1.7907098679783112E-2</v>
      </c>
    </row>
    <row r="67" spans="1:43" ht="25.15" customHeight="1" thickBot="1" x14ac:dyDescent="0.3"/>
    <row r="68" spans="1:43" x14ac:dyDescent="0.25">
      <c r="A68" s="207" t="s">
        <v>3</v>
      </c>
      <c r="B68" s="209" t="s">
        <v>13</v>
      </c>
      <c r="C68" s="179"/>
      <c r="D68" s="179"/>
      <c r="E68" s="180"/>
      <c r="F68" s="181" t="s">
        <v>15</v>
      </c>
      <c r="G68" s="182"/>
      <c r="H68" s="182"/>
      <c r="I68" s="183"/>
      <c r="J68" s="186" t="s">
        <v>7</v>
      </c>
      <c r="L68" s="207" t="s">
        <v>3</v>
      </c>
      <c r="M68" s="209" t="s">
        <v>13</v>
      </c>
      <c r="N68" s="179"/>
      <c r="O68" s="179"/>
      <c r="P68" s="180"/>
      <c r="Q68" s="181" t="s">
        <v>15</v>
      </c>
      <c r="R68" s="182"/>
      <c r="S68" s="182"/>
      <c r="T68" s="183"/>
      <c r="U68" s="186" t="s">
        <v>7</v>
      </c>
      <c r="W68" s="212" t="s">
        <v>3</v>
      </c>
      <c r="X68" s="179" t="s">
        <v>13</v>
      </c>
      <c r="Y68" s="179"/>
      <c r="Z68" s="179"/>
      <c r="AA68" s="179"/>
      <c r="AB68" s="182" t="s">
        <v>15</v>
      </c>
      <c r="AC68" s="182"/>
      <c r="AD68" s="182"/>
      <c r="AE68" s="183"/>
      <c r="AF68" s="186" t="s">
        <v>7</v>
      </c>
    </row>
    <row r="69" spans="1:43" ht="15.75" thickBot="1" x14ac:dyDescent="0.3">
      <c r="A69" s="208"/>
      <c r="B69" s="8" t="s">
        <v>4</v>
      </c>
      <c r="C69" s="8" t="s">
        <v>5</v>
      </c>
      <c r="D69" s="69" t="s">
        <v>17</v>
      </c>
      <c r="E69" s="8" t="s">
        <v>6</v>
      </c>
      <c r="F69" s="8" t="s">
        <v>4</v>
      </c>
      <c r="G69" s="8" t="s">
        <v>5</v>
      </c>
      <c r="H69" s="69" t="s">
        <v>17</v>
      </c>
      <c r="I69" s="38" t="s">
        <v>6</v>
      </c>
      <c r="J69" s="194"/>
      <c r="L69" s="208"/>
      <c r="M69" s="8" t="s">
        <v>4</v>
      </c>
      <c r="N69" s="8" t="s">
        <v>5</v>
      </c>
      <c r="O69" s="69" t="s">
        <v>17</v>
      </c>
      <c r="P69" s="8" t="s">
        <v>6</v>
      </c>
      <c r="Q69" s="8" t="s">
        <v>4</v>
      </c>
      <c r="R69" s="8" t="s">
        <v>5</v>
      </c>
      <c r="S69" s="69" t="s">
        <v>17</v>
      </c>
      <c r="T69" s="38" t="s">
        <v>6</v>
      </c>
      <c r="U69" s="194"/>
      <c r="W69" s="213"/>
      <c r="X69" s="44" t="s">
        <v>4</v>
      </c>
      <c r="Y69" s="44" t="s">
        <v>5</v>
      </c>
      <c r="Z69" s="69" t="s">
        <v>17</v>
      </c>
      <c r="AA69" s="44" t="s">
        <v>6</v>
      </c>
      <c r="AB69" s="44" t="s">
        <v>4</v>
      </c>
      <c r="AC69" s="44" t="s">
        <v>5</v>
      </c>
      <c r="AD69" s="69" t="s">
        <v>17</v>
      </c>
      <c r="AE69" s="45" t="s">
        <v>6</v>
      </c>
      <c r="AF69" s="187"/>
    </row>
    <row r="70" spans="1:43" x14ac:dyDescent="0.25">
      <c r="A70" s="62">
        <v>9</v>
      </c>
      <c r="B70" s="63">
        <f>21</f>
        <v>21</v>
      </c>
      <c r="C70" s="63">
        <f>7</f>
        <v>7</v>
      </c>
      <c r="D70" s="63">
        <f>SUM(B70:C70)</f>
        <v>28</v>
      </c>
      <c r="E70" s="64">
        <f t="shared" ref="E70:E91" si="47">C70/B70</f>
        <v>0.33333333333333331</v>
      </c>
      <c r="F70" s="63">
        <v>25</v>
      </c>
      <c r="G70" s="63">
        <v>7</v>
      </c>
      <c r="H70" s="63">
        <f>SUM(F70:G70)</f>
        <v>32</v>
      </c>
      <c r="I70" s="65">
        <f t="shared" ref="I70:I90" si="48">G70/F70</f>
        <v>0.28000000000000003</v>
      </c>
      <c r="J70" s="39">
        <f t="shared" ref="J70:J90" si="49">I70/E70</f>
        <v>0.84000000000000008</v>
      </c>
      <c r="L70" s="19">
        <v>5</v>
      </c>
      <c r="M70" s="9">
        <v>52</v>
      </c>
      <c r="N70" s="9">
        <v>23</v>
      </c>
      <c r="O70" s="63">
        <f>SUM(M70:N70)</f>
        <v>75</v>
      </c>
      <c r="P70" s="10">
        <f t="shared" ref="P70:P90" si="50">N70/M70</f>
        <v>0.44230769230769229</v>
      </c>
      <c r="Q70" s="9">
        <v>22</v>
      </c>
      <c r="R70" s="9">
        <v>16</v>
      </c>
      <c r="S70" s="63">
        <f>SUM(Q70:R70)</f>
        <v>38</v>
      </c>
      <c r="T70" s="11">
        <f t="shared" ref="T70:T90" si="51">R70/Q70</f>
        <v>0.72727272727272729</v>
      </c>
      <c r="U70" s="117">
        <f t="shared" ref="U70:U90" si="52">T70/P70</f>
        <v>1.6442687747035574</v>
      </c>
      <c r="W70" s="18">
        <v>2</v>
      </c>
      <c r="X70" s="9">
        <v>63</v>
      </c>
      <c r="Y70" s="9">
        <v>42</v>
      </c>
      <c r="Z70" s="63">
        <f>SUM(X70:Y70)</f>
        <v>105</v>
      </c>
      <c r="AA70" s="10">
        <f t="shared" ref="AA70:AA73" si="53">Y70/X70</f>
        <v>0.66666666666666663</v>
      </c>
      <c r="AB70" s="9">
        <v>22</v>
      </c>
      <c r="AC70" s="9">
        <v>0</v>
      </c>
      <c r="AD70" s="63">
        <f>SUM(AB70:AC70)</f>
        <v>22</v>
      </c>
      <c r="AE70" s="11">
        <f t="shared" ref="AE70:AE85" si="54">AC70/AB70</f>
        <v>0</v>
      </c>
      <c r="AF70" s="35">
        <f>AE70/AA70</f>
        <v>0</v>
      </c>
    </row>
    <row r="71" spans="1:43" x14ac:dyDescent="0.25">
      <c r="A71" s="16">
        <v>13</v>
      </c>
      <c r="B71" s="5">
        <f>32+12+6+1</f>
        <v>51</v>
      </c>
      <c r="C71" s="5">
        <f>13+6</f>
        <v>19</v>
      </c>
      <c r="D71" s="5">
        <f t="shared" ref="D71:D90" si="55">SUM(B71:C71)</f>
        <v>70</v>
      </c>
      <c r="E71" s="6">
        <f t="shared" si="47"/>
        <v>0.37254901960784315</v>
      </c>
      <c r="F71" s="5">
        <v>27</v>
      </c>
      <c r="G71" s="5">
        <v>5</v>
      </c>
      <c r="H71" s="5">
        <f t="shared" ref="H71:H90" si="56">SUM(F71:G71)</f>
        <v>32</v>
      </c>
      <c r="I71" s="12">
        <f t="shared" si="48"/>
        <v>0.18518518518518517</v>
      </c>
      <c r="J71" s="36">
        <f t="shared" si="49"/>
        <v>0.49707602339181284</v>
      </c>
      <c r="L71" s="20">
        <v>1</v>
      </c>
      <c r="M71" s="5">
        <f>11+17+8+39</f>
        <v>75</v>
      </c>
      <c r="N71" s="5">
        <f>10+8+4+21</f>
        <v>43</v>
      </c>
      <c r="O71" s="5">
        <f t="shared" ref="O71:O90" si="57">SUM(M71:N71)</f>
        <v>118</v>
      </c>
      <c r="P71" s="6">
        <f t="shared" si="50"/>
        <v>0.57333333333333336</v>
      </c>
      <c r="Q71" s="5">
        <f>17</f>
        <v>17</v>
      </c>
      <c r="R71" s="5">
        <f>16</f>
        <v>16</v>
      </c>
      <c r="S71" s="5">
        <f t="shared" ref="S71:S90" si="58">SUM(Q71:R71)</f>
        <v>33</v>
      </c>
      <c r="T71" s="12">
        <f t="shared" si="51"/>
        <v>0.94117647058823528</v>
      </c>
      <c r="U71" s="117">
        <f t="shared" si="52"/>
        <v>1.6415868673050615</v>
      </c>
      <c r="W71" s="16">
        <v>3</v>
      </c>
      <c r="X71" s="5">
        <v>120</v>
      </c>
      <c r="Y71" s="5">
        <v>42</v>
      </c>
      <c r="Z71" s="5">
        <f t="shared" ref="Z71:Z94" si="59">SUM(X71:Y71)</f>
        <v>162</v>
      </c>
      <c r="AA71" s="6">
        <f t="shared" si="53"/>
        <v>0.35</v>
      </c>
      <c r="AB71" s="5">
        <v>34</v>
      </c>
      <c r="AC71" s="5">
        <v>0</v>
      </c>
      <c r="AD71" s="5">
        <f t="shared" ref="AD71:AD94" si="60">SUM(AB71:AC71)</f>
        <v>34</v>
      </c>
      <c r="AE71" s="12">
        <f t="shared" si="54"/>
        <v>0</v>
      </c>
      <c r="AF71" s="36">
        <f t="shared" ref="AF71:AF94" si="61">AE71/AA71</f>
        <v>0</v>
      </c>
    </row>
    <row r="72" spans="1:43" x14ac:dyDescent="0.25">
      <c r="A72" s="60">
        <v>8</v>
      </c>
      <c r="B72" s="5">
        <v>51</v>
      </c>
      <c r="C72" s="5">
        <v>23</v>
      </c>
      <c r="D72" s="5">
        <f t="shared" si="55"/>
        <v>74</v>
      </c>
      <c r="E72" s="6">
        <f t="shared" si="47"/>
        <v>0.45098039215686275</v>
      </c>
      <c r="F72" s="5">
        <v>60</v>
      </c>
      <c r="G72" s="5">
        <v>9</v>
      </c>
      <c r="H72" s="5">
        <f t="shared" si="56"/>
        <v>69</v>
      </c>
      <c r="I72" s="12">
        <f t="shared" si="48"/>
        <v>0.15</v>
      </c>
      <c r="J72" s="36">
        <f t="shared" si="49"/>
        <v>0.33260869565217388</v>
      </c>
      <c r="L72" s="20">
        <v>1</v>
      </c>
      <c r="M72" s="5">
        <v>109</v>
      </c>
      <c r="N72" s="5">
        <v>52</v>
      </c>
      <c r="O72" s="5">
        <f t="shared" si="57"/>
        <v>161</v>
      </c>
      <c r="P72" s="6">
        <f t="shared" si="50"/>
        <v>0.47706422018348627</v>
      </c>
      <c r="Q72" s="5">
        <v>27</v>
      </c>
      <c r="R72" s="5">
        <v>20</v>
      </c>
      <c r="S72" s="5">
        <f t="shared" si="58"/>
        <v>47</v>
      </c>
      <c r="T72" s="12">
        <f t="shared" si="51"/>
        <v>0.7407407407407407</v>
      </c>
      <c r="U72" s="117">
        <f t="shared" si="52"/>
        <v>1.5527065527065524</v>
      </c>
      <c r="W72" s="17">
        <v>4</v>
      </c>
      <c r="X72" s="5">
        <v>125</v>
      </c>
      <c r="Y72" s="5">
        <v>57</v>
      </c>
      <c r="Z72" s="5">
        <f t="shared" si="59"/>
        <v>182</v>
      </c>
      <c r="AA72" s="6">
        <f t="shared" si="53"/>
        <v>0.45600000000000002</v>
      </c>
      <c r="AB72" s="5">
        <v>20</v>
      </c>
      <c r="AC72" s="5">
        <v>0</v>
      </c>
      <c r="AD72" s="5">
        <f t="shared" si="60"/>
        <v>20</v>
      </c>
      <c r="AE72" s="12">
        <f t="shared" si="54"/>
        <v>0</v>
      </c>
      <c r="AF72" s="36">
        <f t="shared" si="61"/>
        <v>0</v>
      </c>
    </row>
    <row r="73" spans="1:43" x14ac:dyDescent="0.25">
      <c r="A73" s="20">
        <v>1</v>
      </c>
      <c r="B73" s="5">
        <f>5+22+15</f>
        <v>42</v>
      </c>
      <c r="C73" s="5">
        <v>15</v>
      </c>
      <c r="D73" s="5">
        <f t="shared" si="55"/>
        <v>57</v>
      </c>
      <c r="E73" s="6">
        <f t="shared" si="47"/>
        <v>0.35714285714285715</v>
      </c>
      <c r="F73" s="5">
        <v>20</v>
      </c>
      <c r="G73" s="5">
        <v>2</v>
      </c>
      <c r="H73" s="5">
        <f t="shared" si="56"/>
        <v>22</v>
      </c>
      <c r="I73" s="12">
        <f t="shared" si="48"/>
        <v>0.1</v>
      </c>
      <c r="J73" s="36">
        <f t="shared" si="49"/>
        <v>0.28000000000000003</v>
      </c>
      <c r="L73" s="20">
        <v>2</v>
      </c>
      <c r="M73" s="5">
        <v>107</v>
      </c>
      <c r="N73" s="5">
        <v>43</v>
      </c>
      <c r="O73" s="5">
        <f t="shared" si="57"/>
        <v>150</v>
      </c>
      <c r="P73" s="6">
        <f t="shared" si="50"/>
        <v>0.40186915887850466</v>
      </c>
      <c r="Q73" s="5">
        <v>23</v>
      </c>
      <c r="R73" s="5">
        <v>13</v>
      </c>
      <c r="S73" s="5">
        <f t="shared" si="58"/>
        <v>36</v>
      </c>
      <c r="T73" s="12">
        <f t="shared" si="51"/>
        <v>0.56521739130434778</v>
      </c>
      <c r="U73" s="43">
        <f t="shared" si="52"/>
        <v>1.4064711830131444</v>
      </c>
      <c r="W73" s="17">
        <v>7</v>
      </c>
      <c r="X73" s="5">
        <v>80</v>
      </c>
      <c r="Y73" s="5">
        <v>41</v>
      </c>
      <c r="Z73" s="5">
        <f t="shared" si="59"/>
        <v>121</v>
      </c>
      <c r="AA73" s="6">
        <f t="shared" si="53"/>
        <v>0.51249999999999996</v>
      </c>
      <c r="AB73" s="5">
        <v>26</v>
      </c>
      <c r="AC73" s="5">
        <v>0</v>
      </c>
      <c r="AD73" s="5">
        <f t="shared" si="60"/>
        <v>26</v>
      </c>
      <c r="AE73" s="12">
        <f t="shared" si="54"/>
        <v>0</v>
      </c>
      <c r="AF73" s="36">
        <f t="shared" si="61"/>
        <v>0</v>
      </c>
    </row>
    <row r="74" spans="1:43" x14ac:dyDescent="0.25">
      <c r="A74" s="20">
        <v>5</v>
      </c>
      <c r="B74" s="5">
        <f>18+6+15+6</f>
        <v>45</v>
      </c>
      <c r="C74" s="5">
        <f>8+18+5</f>
        <v>31</v>
      </c>
      <c r="D74" s="5">
        <f t="shared" si="55"/>
        <v>76</v>
      </c>
      <c r="E74" s="6">
        <f t="shared" si="47"/>
        <v>0.68888888888888888</v>
      </c>
      <c r="F74" s="5">
        <v>28</v>
      </c>
      <c r="G74" s="5">
        <v>5</v>
      </c>
      <c r="H74" s="5">
        <f t="shared" si="56"/>
        <v>33</v>
      </c>
      <c r="I74" s="12">
        <f t="shared" si="48"/>
        <v>0.17857142857142858</v>
      </c>
      <c r="J74" s="36">
        <f t="shared" si="49"/>
        <v>0.25921658986175117</v>
      </c>
      <c r="L74" s="16">
        <v>3</v>
      </c>
      <c r="M74" s="5">
        <v>107</v>
      </c>
      <c r="N74" s="5">
        <v>44</v>
      </c>
      <c r="O74" s="5">
        <f t="shared" si="57"/>
        <v>151</v>
      </c>
      <c r="P74" s="6">
        <f t="shared" si="50"/>
        <v>0.41121495327102803</v>
      </c>
      <c r="Q74" s="5">
        <v>18</v>
      </c>
      <c r="R74" s="5">
        <v>9</v>
      </c>
      <c r="S74" s="5">
        <f t="shared" si="58"/>
        <v>27</v>
      </c>
      <c r="T74" s="12">
        <f t="shared" si="51"/>
        <v>0.5</v>
      </c>
      <c r="U74" s="43">
        <f t="shared" si="52"/>
        <v>1.2159090909090908</v>
      </c>
      <c r="W74" s="17">
        <v>8</v>
      </c>
      <c r="X74" s="5">
        <v>86</v>
      </c>
      <c r="Y74" s="5">
        <v>34</v>
      </c>
      <c r="Z74" s="5">
        <f t="shared" si="59"/>
        <v>120</v>
      </c>
      <c r="AA74" s="6">
        <f>Y74/X74</f>
        <v>0.39534883720930231</v>
      </c>
      <c r="AB74" s="5">
        <v>22</v>
      </c>
      <c r="AC74" s="5">
        <v>0</v>
      </c>
      <c r="AD74" s="5">
        <f t="shared" si="60"/>
        <v>22</v>
      </c>
      <c r="AE74" s="12">
        <f t="shared" si="54"/>
        <v>0</v>
      </c>
      <c r="AF74" s="36">
        <f t="shared" si="61"/>
        <v>0</v>
      </c>
    </row>
    <row r="75" spans="1:43" x14ac:dyDescent="0.25">
      <c r="A75" s="16">
        <v>3</v>
      </c>
      <c r="B75" s="5">
        <f>4+15+20+6</f>
        <v>45</v>
      </c>
      <c r="C75" s="5">
        <f>17+2</f>
        <v>19</v>
      </c>
      <c r="D75" s="5">
        <f t="shared" si="55"/>
        <v>64</v>
      </c>
      <c r="E75" s="6">
        <f t="shared" si="47"/>
        <v>0.42222222222222222</v>
      </c>
      <c r="F75" s="5">
        <v>45</v>
      </c>
      <c r="G75" s="5">
        <v>4</v>
      </c>
      <c r="H75" s="5">
        <f t="shared" si="56"/>
        <v>49</v>
      </c>
      <c r="I75" s="12">
        <f t="shared" si="48"/>
        <v>8.8888888888888892E-2</v>
      </c>
      <c r="J75" s="36">
        <f t="shared" si="49"/>
        <v>0.2105263157894737</v>
      </c>
      <c r="L75" s="20">
        <v>8</v>
      </c>
      <c r="M75" s="5">
        <v>114</v>
      </c>
      <c r="N75" s="5">
        <v>59</v>
      </c>
      <c r="O75" s="5">
        <f t="shared" si="57"/>
        <v>173</v>
      </c>
      <c r="P75" s="6">
        <f t="shared" si="50"/>
        <v>0.51754385964912286</v>
      </c>
      <c r="Q75" s="5">
        <v>31</v>
      </c>
      <c r="R75" s="5">
        <v>18</v>
      </c>
      <c r="S75" s="5">
        <f t="shared" si="58"/>
        <v>49</v>
      </c>
      <c r="T75" s="12">
        <f t="shared" si="51"/>
        <v>0.58064516129032262</v>
      </c>
      <c r="U75" s="43">
        <f t="shared" si="52"/>
        <v>1.1219245489338436</v>
      </c>
      <c r="W75" s="17">
        <v>9</v>
      </c>
      <c r="X75" s="5">
        <v>97</v>
      </c>
      <c r="Y75" s="5">
        <v>48</v>
      </c>
      <c r="Z75" s="5">
        <f t="shared" si="59"/>
        <v>145</v>
      </c>
      <c r="AA75" s="6">
        <f>Y75/X75</f>
        <v>0.49484536082474229</v>
      </c>
      <c r="AB75" s="5">
        <v>29</v>
      </c>
      <c r="AC75" s="5">
        <v>0</v>
      </c>
      <c r="AD75" s="5">
        <f t="shared" si="60"/>
        <v>29</v>
      </c>
      <c r="AE75" s="12">
        <f t="shared" si="54"/>
        <v>0</v>
      </c>
      <c r="AF75" s="36">
        <f t="shared" si="61"/>
        <v>0</v>
      </c>
    </row>
    <row r="76" spans="1:43" x14ac:dyDescent="0.25">
      <c r="A76" s="60">
        <v>3</v>
      </c>
      <c r="B76" s="5">
        <v>61</v>
      </c>
      <c r="C76" s="5">
        <v>43</v>
      </c>
      <c r="D76" s="5">
        <f t="shared" si="55"/>
        <v>104</v>
      </c>
      <c r="E76" s="6">
        <f t="shared" si="47"/>
        <v>0.70491803278688525</v>
      </c>
      <c r="F76" s="5">
        <v>28</v>
      </c>
      <c r="G76" s="5">
        <v>4</v>
      </c>
      <c r="H76" s="5">
        <f t="shared" si="56"/>
        <v>32</v>
      </c>
      <c r="I76" s="12">
        <f t="shared" si="48"/>
        <v>0.14285714285714285</v>
      </c>
      <c r="J76" s="36">
        <f t="shared" si="49"/>
        <v>0.20265780730897009</v>
      </c>
      <c r="L76" s="20">
        <v>1</v>
      </c>
      <c r="M76" s="5">
        <v>112</v>
      </c>
      <c r="N76" s="5">
        <v>55</v>
      </c>
      <c r="O76" s="5">
        <f t="shared" si="57"/>
        <v>167</v>
      </c>
      <c r="P76" s="6">
        <f t="shared" si="50"/>
        <v>0.49107142857142855</v>
      </c>
      <c r="Q76" s="5">
        <v>65</v>
      </c>
      <c r="R76" s="5">
        <v>35</v>
      </c>
      <c r="S76" s="5">
        <f t="shared" si="58"/>
        <v>100</v>
      </c>
      <c r="T76" s="12">
        <f t="shared" si="51"/>
        <v>0.53846153846153844</v>
      </c>
      <c r="U76" s="43">
        <f t="shared" si="52"/>
        <v>1.0965034965034965</v>
      </c>
      <c r="W76" s="17">
        <v>10</v>
      </c>
      <c r="X76" s="5">
        <v>92</v>
      </c>
      <c r="Y76" s="5">
        <v>56</v>
      </c>
      <c r="Z76" s="5">
        <f t="shared" si="59"/>
        <v>148</v>
      </c>
      <c r="AA76" s="6">
        <f>Y76/X76</f>
        <v>0.60869565217391308</v>
      </c>
      <c r="AB76" s="5">
        <v>33</v>
      </c>
      <c r="AC76" s="5">
        <v>0</v>
      </c>
      <c r="AD76" s="5">
        <f t="shared" si="60"/>
        <v>33</v>
      </c>
      <c r="AE76" s="12">
        <f t="shared" si="54"/>
        <v>0</v>
      </c>
      <c r="AF76" s="36">
        <f t="shared" si="61"/>
        <v>0</v>
      </c>
    </row>
    <row r="77" spans="1:43" x14ac:dyDescent="0.25">
      <c r="A77" s="20">
        <v>4</v>
      </c>
      <c r="B77" s="5">
        <f>29+15+7+3</f>
        <v>54</v>
      </c>
      <c r="C77" s="5">
        <f>19+6</f>
        <v>25</v>
      </c>
      <c r="D77" s="5">
        <f t="shared" si="55"/>
        <v>79</v>
      </c>
      <c r="E77" s="6">
        <f t="shared" si="47"/>
        <v>0.46296296296296297</v>
      </c>
      <c r="F77" s="5">
        <v>43</v>
      </c>
      <c r="G77" s="5">
        <v>4</v>
      </c>
      <c r="H77" s="5">
        <f t="shared" si="56"/>
        <v>47</v>
      </c>
      <c r="I77" s="12">
        <f t="shared" si="48"/>
        <v>9.3023255813953487E-2</v>
      </c>
      <c r="J77" s="36">
        <f t="shared" si="49"/>
        <v>0.20093023255813952</v>
      </c>
      <c r="L77" s="20">
        <v>7</v>
      </c>
      <c r="M77" s="5">
        <v>101</v>
      </c>
      <c r="N77" s="5">
        <v>50</v>
      </c>
      <c r="O77" s="5">
        <f t="shared" si="57"/>
        <v>151</v>
      </c>
      <c r="P77" s="6">
        <f t="shared" si="50"/>
        <v>0.49504950495049505</v>
      </c>
      <c r="Q77" s="5">
        <v>53</v>
      </c>
      <c r="R77" s="5">
        <v>28</v>
      </c>
      <c r="S77" s="5">
        <f t="shared" si="58"/>
        <v>81</v>
      </c>
      <c r="T77" s="12">
        <f t="shared" si="51"/>
        <v>0.52830188679245282</v>
      </c>
      <c r="U77" s="43">
        <f t="shared" si="52"/>
        <v>1.0671698113207546</v>
      </c>
      <c r="W77" s="17">
        <v>2</v>
      </c>
      <c r="X77" s="5">
        <v>125</v>
      </c>
      <c r="Y77" s="5">
        <v>46</v>
      </c>
      <c r="Z77" s="5">
        <f t="shared" si="59"/>
        <v>171</v>
      </c>
      <c r="AA77" s="6">
        <f t="shared" ref="AA77:AA82" si="62">Y77/X77</f>
        <v>0.36799999999999999</v>
      </c>
      <c r="AB77" s="5">
        <v>25</v>
      </c>
      <c r="AC77" s="5">
        <v>0</v>
      </c>
      <c r="AD77" s="5">
        <f t="shared" si="60"/>
        <v>25</v>
      </c>
      <c r="AE77" s="12">
        <f t="shared" si="54"/>
        <v>0</v>
      </c>
      <c r="AF77" s="36">
        <f t="shared" si="61"/>
        <v>0</v>
      </c>
    </row>
    <row r="78" spans="1:43" x14ac:dyDescent="0.25">
      <c r="A78" s="20">
        <v>8</v>
      </c>
      <c r="B78" s="5">
        <f>18+42+4</f>
        <v>64</v>
      </c>
      <c r="C78" s="5">
        <f>9+9+11+6</f>
        <v>35</v>
      </c>
      <c r="D78" s="5">
        <f t="shared" si="55"/>
        <v>99</v>
      </c>
      <c r="E78" s="6">
        <f t="shared" si="47"/>
        <v>0.546875</v>
      </c>
      <c r="F78" s="5">
        <v>47</v>
      </c>
      <c r="G78" s="5">
        <v>5</v>
      </c>
      <c r="H78" s="5">
        <f t="shared" si="56"/>
        <v>52</v>
      </c>
      <c r="I78" s="12">
        <f t="shared" si="48"/>
        <v>0.10638297872340426</v>
      </c>
      <c r="J78" s="36">
        <f t="shared" si="49"/>
        <v>0.19452887537993921</v>
      </c>
      <c r="L78" s="20">
        <v>7</v>
      </c>
      <c r="M78" s="5">
        <v>98</v>
      </c>
      <c r="N78" s="5">
        <v>53</v>
      </c>
      <c r="O78" s="5">
        <f t="shared" si="57"/>
        <v>151</v>
      </c>
      <c r="P78" s="6">
        <f t="shared" si="50"/>
        <v>0.54081632653061229</v>
      </c>
      <c r="Q78" s="5">
        <v>25</v>
      </c>
      <c r="R78" s="5">
        <v>14</v>
      </c>
      <c r="S78" s="5">
        <f t="shared" si="58"/>
        <v>39</v>
      </c>
      <c r="T78" s="12">
        <f t="shared" si="51"/>
        <v>0.56000000000000005</v>
      </c>
      <c r="U78" s="43">
        <f t="shared" si="52"/>
        <v>1.0354716981132075</v>
      </c>
      <c r="W78" s="16">
        <v>3</v>
      </c>
      <c r="X78" s="5">
        <v>82</v>
      </c>
      <c r="Y78" s="5">
        <v>45</v>
      </c>
      <c r="Z78" s="5">
        <f t="shared" si="59"/>
        <v>127</v>
      </c>
      <c r="AA78" s="6">
        <f t="shared" si="62"/>
        <v>0.54878048780487809</v>
      </c>
      <c r="AB78" s="5">
        <v>32</v>
      </c>
      <c r="AC78" s="5">
        <v>0</v>
      </c>
      <c r="AD78" s="5">
        <f t="shared" si="60"/>
        <v>32</v>
      </c>
      <c r="AE78" s="12">
        <f t="shared" si="54"/>
        <v>0</v>
      </c>
      <c r="AF78" s="36">
        <f t="shared" si="61"/>
        <v>0</v>
      </c>
    </row>
    <row r="79" spans="1:43" x14ac:dyDescent="0.25">
      <c r="A79" s="20">
        <v>10</v>
      </c>
      <c r="B79" s="5">
        <f>34+16+14+27</f>
        <v>91</v>
      </c>
      <c r="C79" s="5">
        <f>10+12+20+15</f>
        <v>57</v>
      </c>
      <c r="D79" s="5">
        <f t="shared" si="55"/>
        <v>148</v>
      </c>
      <c r="E79" s="6">
        <f t="shared" si="47"/>
        <v>0.62637362637362637</v>
      </c>
      <c r="F79" s="5">
        <v>35</v>
      </c>
      <c r="G79" s="5">
        <v>4</v>
      </c>
      <c r="H79" s="5">
        <f t="shared" si="56"/>
        <v>39</v>
      </c>
      <c r="I79" s="12">
        <f t="shared" si="48"/>
        <v>0.11428571428571428</v>
      </c>
      <c r="J79" s="36">
        <f t="shared" si="49"/>
        <v>0.18245614035087718</v>
      </c>
      <c r="L79" s="20">
        <v>8</v>
      </c>
      <c r="M79" s="5">
        <f>21+18+11+49</f>
        <v>99</v>
      </c>
      <c r="N79" s="5">
        <f>20+6+7+21</f>
        <v>54</v>
      </c>
      <c r="O79" s="5">
        <f t="shared" si="57"/>
        <v>153</v>
      </c>
      <c r="P79" s="6">
        <f t="shared" si="50"/>
        <v>0.54545454545454541</v>
      </c>
      <c r="Q79" s="5">
        <f>1+22+2</f>
        <v>25</v>
      </c>
      <c r="R79" s="5">
        <f>14</f>
        <v>14</v>
      </c>
      <c r="S79" s="5">
        <f t="shared" si="58"/>
        <v>39</v>
      </c>
      <c r="T79" s="12">
        <f t="shared" si="51"/>
        <v>0.56000000000000005</v>
      </c>
      <c r="U79" s="43">
        <f t="shared" si="52"/>
        <v>1.0266666666666668</v>
      </c>
      <c r="W79" s="17">
        <v>4</v>
      </c>
      <c r="X79" s="5">
        <v>96</v>
      </c>
      <c r="Y79" s="5">
        <v>36</v>
      </c>
      <c r="Z79" s="5">
        <f t="shared" si="59"/>
        <v>132</v>
      </c>
      <c r="AA79" s="6">
        <f t="shared" si="62"/>
        <v>0.375</v>
      </c>
      <c r="AB79" s="5">
        <v>29</v>
      </c>
      <c r="AC79" s="5">
        <v>0</v>
      </c>
      <c r="AD79" s="5">
        <f t="shared" si="60"/>
        <v>29</v>
      </c>
      <c r="AE79" s="12">
        <f t="shared" si="54"/>
        <v>0</v>
      </c>
      <c r="AF79" s="36">
        <f t="shared" si="61"/>
        <v>0</v>
      </c>
    </row>
    <row r="80" spans="1:43" x14ac:dyDescent="0.25">
      <c r="A80" s="60">
        <v>9</v>
      </c>
      <c r="B80" s="5">
        <v>33</v>
      </c>
      <c r="C80" s="5">
        <v>32</v>
      </c>
      <c r="D80" s="5">
        <f t="shared" si="55"/>
        <v>65</v>
      </c>
      <c r="E80" s="6">
        <f t="shared" si="47"/>
        <v>0.96969696969696972</v>
      </c>
      <c r="F80" s="5">
        <v>27</v>
      </c>
      <c r="G80" s="5">
        <v>4</v>
      </c>
      <c r="H80" s="5">
        <f t="shared" si="56"/>
        <v>31</v>
      </c>
      <c r="I80" s="12">
        <f t="shared" si="48"/>
        <v>0.14814814814814814</v>
      </c>
      <c r="J80" s="36">
        <f t="shared" si="49"/>
        <v>0.15277777777777776</v>
      </c>
      <c r="L80" s="20">
        <v>9</v>
      </c>
      <c r="M80" s="5">
        <v>128</v>
      </c>
      <c r="N80" s="5">
        <v>65</v>
      </c>
      <c r="O80" s="5">
        <f t="shared" si="57"/>
        <v>193</v>
      </c>
      <c r="P80" s="6">
        <f t="shared" si="50"/>
        <v>0.5078125</v>
      </c>
      <c r="Q80" s="5">
        <v>55</v>
      </c>
      <c r="R80" s="5">
        <v>25</v>
      </c>
      <c r="S80" s="5">
        <f t="shared" si="58"/>
        <v>80</v>
      </c>
      <c r="T80" s="12">
        <f t="shared" si="51"/>
        <v>0.45454545454545453</v>
      </c>
      <c r="U80" s="43">
        <f t="shared" si="52"/>
        <v>0.8951048951048951</v>
      </c>
      <c r="W80" s="17">
        <v>5</v>
      </c>
      <c r="X80" s="5">
        <v>75</v>
      </c>
      <c r="Y80" s="5">
        <v>47</v>
      </c>
      <c r="Z80" s="5">
        <f t="shared" si="59"/>
        <v>122</v>
      </c>
      <c r="AA80" s="6">
        <f t="shared" si="62"/>
        <v>0.62666666666666671</v>
      </c>
      <c r="AB80" s="5">
        <v>28</v>
      </c>
      <c r="AC80" s="5">
        <v>0</v>
      </c>
      <c r="AD80" s="5">
        <f t="shared" si="60"/>
        <v>28</v>
      </c>
      <c r="AE80" s="12">
        <f t="shared" si="54"/>
        <v>0</v>
      </c>
      <c r="AF80" s="36">
        <f t="shared" si="61"/>
        <v>0</v>
      </c>
    </row>
    <row r="81" spans="1:32" x14ac:dyDescent="0.25">
      <c r="A81" s="20">
        <v>2</v>
      </c>
      <c r="B81" s="5">
        <f>12+26+16+5</f>
        <v>59</v>
      </c>
      <c r="C81" s="5">
        <f>27+5</f>
        <v>32</v>
      </c>
      <c r="D81" s="5">
        <f t="shared" si="55"/>
        <v>91</v>
      </c>
      <c r="E81" s="6">
        <f t="shared" si="47"/>
        <v>0.5423728813559322</v>
      </c>
      <c r="F81" s="5">
        <v>51</v>
      </c>
      <c r="G81" s="5">
        <v>4</v>
      </c>
      <c r="H81" s="5">
        <f t="shared" si="56"/>
        <v>55</v>
      </c>
      <c r="I81" s="12">
        <f t="shared" si="48"/>
        <v>7.8431372549019607E-2</v>
      </c>
      <c r="J81" s="36">
        <f t="shared" si="49"/>
        <v>0.14460784313725489</v>
      </c>
      <c r="L81" s="20">
        <v>4</v>
      </c>
      <c r="M81" s="5">
        <v>95</v>
      </c>
      <c r="N81" s="5">
        <v>51</v>
      </c>
      <c r="O81" s="5">
        <f t="shared" si="57"/>
        <v>146</v>
      </c>
      <c r="P81" s="6">
        <f t="shared" si="50"/>
        <v>0.5368421052631579</v>
      </c>
      <c r="Q81" s="5">
        <v>57</v>
      </c>
      <c r="R81" s="5">
        <v>27</v>
      </c>
      <c r="S81" s="5">
        <f t="shared" si="58"/>
        <v>84</v>
      </c>
      <c r="T81" s="12">
        <f t="shared" si="51"/>
        <v>0.47368421052631576</v>
      </c>
      <c r="U81" s="43">
        <f t="shared" si="52"/>
        <v>0.88235294117647056</v>
      </c>
      <c r="W81" s="17">
        <v>6</v>
      </c>
      <c r="X81" s="5">
        <v>103</v>
      </c>
      <c r="Y81" s="5">
        <v>66</v>
      </c>
      <c r="Z81" s="5">
        <f t="shared" si="59"/>
        <v>169</v>
      </c>
      <c r="AA81" s="6">
        <f t="shared" si="62"/>
        <v>0.64077669902912626</v>
      </c>
      <c r="AB81" s="5">
        <v>36</v>
      </c>
      <c r="AC81" s="5">
        <v>0</v>
      </c>
      <c r="AD81" s="5">
        <f t="shared" si="60"/>
        <v>36</v>
      </c>
      <c r="AE81" s="12">
        <f t="shared" si="54"/>
        <v>0</v>
      </c>
      <c r="AF81" s="36">
        <f t="shared" si="61"/>
        <v>0</v>
      </c>
    </row>
    <row r="82" spans="1:32" x14ac:dyDescent="0.25">
      <c r="A82" s="20">
        <v>18</v>
      </c>
      <c r="B82" s="5">
        <f>33+13+6</f>
        <v>52</v>
      </c>
      <c r="C82" s="5">
        <f>14+17+10+13</f>
        <v>54</v>
      </c>
      <c r="D82" s="5">
        <f t="shared" si="55"/>
        <v>106</v>
      </c>
      <c r="E82" s="6">
        <f t="shared" si="47"/>
        <v>1.0384615384615385</v>
      </c>
      <c r="F82" s="5">
        <v>29</v>
      </c>
      <c r="G82" s="5">
        <v>4</v>
      </c>
      <c r="H82" s="5">
        <f t="shared" si="56"/>
        <v>33</v>
      </c>
      <c r="I82" s="12">
        <f t="shared" si="48"/>
        <v>0.13793103448275862</v>
      </c>
      <c r="J82" s="36">
        <f t="shared" si="49"/>
        <v>0.13282247765006383</v>
      </c>
      <c r="L82" s="20">
        <v>6</v>
      </c>
      <c r="M82" s="5">
        <f>19+12+8+8</f>
        <v>47</v>
      </c>
      <c r="N82" s="5">
        <f>15+7+1+3</f>
        <v>26</v>
      </c>
      <c r="O82" s="5">
        <f t="shared" si="57"/>
        <v>73</v>
      </c>
      <c r="P82" s="6">
        <f t="shared" si="50"/>
        <v>0.55319148936170215</v>
      </c>
      <c r="Q82" s="5">
        <f>3+21+3</f>
        <v>27</v>
      </c>
      <c r="R82" s="5">
        <f>3+9+1</f>
        <v>13</v>
      </c>
      <c r="S82" s="5">
        <f t="shared" si="58"/>
        <v>40</v>
      </c>
      <c r="T82" s="12">
        <f t="shared" si="51"/>
        <v>0.48148148148148145</v>
      </c>
      <c r="U82" s="43">
        <f t="shared" si="52"/>
        <v>0.87037037037037024</v>
      </c>
      <c r="W82" s="17">
        <v>7</v>
      </c>
      <c r="X82" s="5">
        <v>75</v>
      </c>
      <c r="Y82" s="5">
        <v>41</v>
      </c>
      <c r="Z82" s="5">
        <f t="shared" si="59"/>
        <v>116</v>
      </c>
      <c r="AA82" s="6">
        <f t="shared" si="62"/>
        <v>0.54666666666666663</v>
      </c>
      <c r="AB82" s="5">
        <v>35</v>
      </c>
      <c r="AC82" s="5">
        <v>0</v>
      </c>
      <c r="AD82" s="5">
        <f t="shared" si="60"/>
        <v>35</v>
      </c>
      <c r="AE82" s="12">
        <f t="shared" si="54"/>
        <v>0</v>
      </c>
      <c r="AF82" s="36">
        <f t="shared" si="61"/>
        <v>0</v>
      </c>
    </row>
    <row r="83" spans="1:32" x14ac:dyDescent="0.25">
      <c r="A83" s="20">
        <v>11</v>
      </c>
      <c r="B83" s="5">
        <f>17+25+28+28</f>
        <v>98</v>
      </c>
      <c r="C83" s="5">
        <f>7+12+19+19</f>
        <v>57</v>
      </c>
      <c r="D83" s="5">
        <f t="shared" si="55"/>
        <v>155</v>
      </c>
      <c r="E83" s="6">
        <f t="shared" si="47"/>
        <v>0.58163265306122447</v>
      </c>
      <c r="F83" s="5">
        <v>39</v>
      </c>
      <c r="G83" s="5">
        <v>3</v>
      </c>
      <c r="H83" s="5">
        <f t="shared" si="56"/>
        <v>42</v>
      </c>
      <c r="I83" s="12">
        <f t="shared" si="48"/>
        <v>7.6923076923076927E-2</v>
      </c>
      <c r="J83" s="36">
        <f t="shared" si="49"/>
        <v>0.13225371120107962</v>
      </c>
      <c r="L83" s="20">
        <v>5</v>
      </c>
      <c r="M83" s="5">
        <f>29+20+9+11</f>
        <v>69</v>
      </c>
      <c r="N83" s="5">
        <f>15+9+4+8</f>
        <v>36</v>
      </c>
      <c r="O83" s="5">
        <f t="shared" si="57"/>
        <v>105</v>
      </c>
      <c r="P83" s="6">
        <f t="shared" si="50"/>
        <v>0.52173913043478259</v>
      </c>
      <c r="Q83" s="5">
        <f>13+40+10</f>
        <v>63</v>
      </c>
      <c r="R83" s="5">
        <f>6+16+5</f>
        <v>27</v>
      </c>
      <c r="S83" s="5">
        <f t="shared" si="58"/>
        <v>90</v>
      </c>
      <c r="T83" s="12">
        <f t="shared" si="51"/>
        <v>0.42857142857142855</v>
      </c>
      <c r="U83" s="43">
        <f t="shared" si="52"/>
        <v>0.8214285714285714</v>
      </c>
      <c r="W83" s="17">
        <v>8</v>
      </c>
      <c r="X83" s="5">
        <v>90</v>
      </c>
      <c r="Y83" s="5">
        <v>58</v>
      </c>
      <c r="Z83" s="5">
        <f t="shared" si="59"/>
        <v>148</v>
      </c>
      <c r="AA83" s="6">
        <f>Y83/X83</f>
        <v>0.64444444444444449</v>
      </c>
      <c r="AB83" s="5">
        <v>38</v>
      </c>
      <c r="AC83" s="5">
        <v>0</v>
      </c>
      <c r="AD83" s="5">
        <f t="shared" si="60"/>
        <v>38</v>
      </c>
      <c r="AE83" s="12">
        <f t="shared" si="54"/>
        <v>0</v>
      </c>
      <c r="AF83" s="36">
        <f t="shared" ref="AF83:AF86" si="63">AE83/AA83</f>
        <v>0</v>
      </c>
    </row>
    <row r="84" spans="1:32" x14ac:dyDescent="0.25">
      <c r="A84" s="60">
        <v>5</v>
      </c>
      <c r="B84" s="5">
        <v>41</v>
      </c>
      <c r="C84" s="5">
        <v>36</v>
      </c>
      <c r="D84" s="5">
        <f t="shared" si="55"/>
        <v>77</v>
      </c>
      <c r="E84" s="6">
        <f t="shared" si="47"/>
        <v>0.87804878048780488</v>
      </c>
      <c r="F84" s="5">
        <v>26</v>
      </c>
      <c r="G84" s="5">
        <v>3</v>
      </c>
      <c r="H84" s="5">
        <f t="shared" si="56"/>
        <v>29</v>
      </c>
      <c r="I84" s="12">
        <f t="shared" si="48"/>
        <v>0.11538461538461539</v>
      </c>
      <c r="J84" s="36">
        <f t="shared" si="49"/>
        <v>0.13141025641025642</v>
      </c>
      <c r="L84" s="20">
        <v>6</v>
      </c>
      <c r="M84" s="5">
        <v>107</v>
      </c>
      <c r="N84" s="5">
        <v>59</v>
      </c>
      <c r="O84" s="5">
        <f t="shared" si="57"/>
        <v>166</v>
      </c>
      <c r="P84" s="6">
        <f t="shared" si="50"/>
        <v>0.55140186915887845</v>
      </c>
      <c r="Q84" s="5">
        <v>52</v>
      </c>
      <c r="R84" s="5">
        <v>23</v>
      </c>
      <c r="S84" s="5">
        <f t="shared" si="58"/>
        <v>75</v>
      </c>
      <c r="T84" s="12">
        <f t="shared" si="51"/>
        <v>0.44230769230769229</v>
      </c>
      <c r="U84" s="43">
        <f t="shared" si="52"/>
        <v>0.80215123859191662</v>
      </c>
      <c r="W84" s="17">
        <v>9</v>
      </c>
      <c r="X84" s="5">
        <v>107</v>
      </c>
      <c r="Y84" s="5">
        <v>47</v>
      </c>
      <c r="Z84" s="5">
        <f t="shared" si="59"/>
        <v>154</v>
      </c>
      <c r="AA84" s="6">
        <f>Y84/X84</f>
        <v>0.43925233644859812</v>
      </c>
      <c r="AB84" s="5">
        <v>26</v>
      </c>
      <c r="AC84" s="5">
        <v>0</v>
      </c>
      <c r="AD84" s="5">
        <f t="shared" si="60"/>
        <v>26</v>
      </c>
      <c r="AE84" s="12">
        <f t="shared" si="54"/>
        <v>0</v>
      </c>
      <c r="AF84" s="36">
        <f t="shared" si="63"/>
        <v>0</v>
      </c>
    </row>
    <row r="85" spans="1:32" x14ac:dyDescent="0.25">
      <c r="A85" s="60">
        <v>7</v>
      </c>
      <c r="B85" s="5">
        <v>32</v>
      </c>
      <c r="C85" s="5">
        <v>24</v>
      </c>
      <c r="D85" s="5">
        <f t="shared" si="55"/>
        <v>56</v>
      </c>
      <c r="E85" s="6">
        <f t="shared" si="47"/>
        <v>0.75</v>
      </c>
      <c r="F85" s="5">
        <v>25</v>
      </c>
      <c r="G85" s="5">
        <v>2</v>
      </c>
      <c r="H85" s="5">
        <f t="shared" si="56"/>
        <v>27</v>
      </c>
      <c r="I85" s="12">
        <f t="shared" si="48"/>
        <v>0.08</v>
      </c>
      <c r="J85" s="36">
        <f t="shared" si="49"/>
        <v>0.10666666666666667</v>
      </c>
      <c r="L85" s="16">
        <v>3</v>
      </c>
      <c r="M85" s="5">
        <f>22+17+12+33</f>
        <v>84</v>
      </c>
      <c r="N85" s="5">
        <f>14+18+8+22</f>
        <v>62</v>
      </c>
      <c r="O85" s="5">
        <f t="shared" si="57"/>
        <v>146</v>
      </c>
      <c r="P85" s="6">
        <f t="shared" si="50"/>
        <v>0.73809523809523814</v>
      </c>
      <c r="Q85" s="5">
        <f>4+27+15</f>
        <v>46</v>
      </c>
      <c r="R85" s="5">
        <f>6+17+3</f>
        <v>26</v>
      </c>
      <c r="S85" s="5">
        <f t="shared" si="58"/>
        <v>72</v>
      </c>
      <c r="T85" s="12">
        <f t="shared" si="51"/>
        <v>0.56521739130434778</v>
      </c>
      <c r="U85" s="43">
        <f t="shared" si="52"/>
        <v>0.76577840112201956</v>
      </c>
      <c r="W85" s="17">
        <v>10</v>
      </c>
      <c r="X85" s="5">
        <v>66</v>
      </c>
      <c r="Y85" s="5">
        <v>33</v>
      </c>
      <c r="Z85" s="5">
        <f t="shared" si="59"/>
        <v>99</v>
      </c>
      <c r="AA85" s="6">
        <f>Y85/X85</f>
        <v>0.5</v>
      </c>
      <c r="AB85" s="5">
        <v>23</v>
      </c>
      <c r="AC85" s="5">
        <v>0</v>
      </c>
      <c r="AD85" s="5">
        <f t="shared" si="60"/>
        <v>23</v>
      </c>
      <c r="AE85" s="12">
        <f t="shared" si="54"/>
        <v>0</v>
      </c>
      <c r="AF85" s="36">
        <f t="shared" si="63"/>
        <v>0</v>
      </c>
    </row>
    <row r="86" spans="1:32" x14ac:dyDescent="0.25">
      <c r="A86" s="60">
        <v>10</v>
      </c>
      <c r="B86" s="5">
        <v>45</v>
      </c>
      <c r="C86" s="5">
        <v>19</v>
      </c>
      <c r="D86" s="5">
        <f t="shared" si="55"/>
        <v>64</v>
      </c>
      <c r="E86" s="6">
        <f t="shared" si="47"/>
        <v>0.42222222222222222</v>
      </c>
      <c r="F86" s="5">
        <v>25</v>
      </c>
      <c r="G86" s="5">
        <v>1</v>
      </c>
      <c r="H86" s="5">
        <f t="shared" si="56"/>
        <v>26</v>
      </c>
      <c r="I86" s="12">
        <f t="shared" si="48"/>
        <v>0.04</v>
      </c>
      <c r="J86" s="36">
        <f t="shared" si="49"/>
        <v>9.4736842105263161E-2</v>
      </c>
      <c r="L86" s="20">
        <v>5</v>
      </c>
      <c r="M86" s="5">
        <v>87</v>
      </c>
      <c r="N86" s="5">
        <v>52</v>
      </c>
      <c r="O86" s="5">
        <f t="shared" si="57"/>
        <v>139</v>
      </c>
      <c r="P86" s="6">
        <f t="shared" si="50"/>
        <v>0.5977011494252874</v>
      </c>
      <c r="Q86" s="5">
        <v>25</v>
      </c>
      <c r="R86" s="5">
        <v>11</v>
      </c>
      <c r="S86" s="5">
        <f t="shared" si="58"/>
        <v>36</v>
      </c>
      <c r="T86" s="12">
        <f t="shared" si="51"/>
        <v>0.44</v>
      </c>
      <c r="U86" s="43">
        <f t="shared" si="52"/>
        <v>0.73615384615384605</v>
      </c>
      <c r="W86" s="17">
        <v>1</v>
      </c>
      <c r="X86" s="5">
        <v>124</v>
      </c>
      <c r="Y86" s="5">
        <v>47</v>
      </c>
      <c r="Z86" s="5">
        <f t="shared" si="59"/>
        <v>171</v>
      </c>
      <c r="AA86" s="6">
        <f t="shared" ref="AA86:AA92" si="64">Y86/X86</f>
        <v>0.37903225806451613</v>
      </c>
      <c r="AB86" s="5">
        <v>40</v>
      </c>
      <c r="AC86" s="5">
        <v>0</v>
      </c>
      <c r="AD86" s="5">
        <f t="shared" si="60"/>
        <v>40</v>
      </c>
      <c r="AE86" s="12">
        <f>AC86/AB86</f>
        <v>0</v>
      </c>
      <c r="AF86" s="36">
        <f t="shared" si="63"/>
        <v>0</v>
      </c>
    </row>
    <row r="87" spans="1:32" x14ac:dyDescent="0.25">
      <c r="A87" s="60">
        <v>6</v>
      </c>
      <c r="B87" s="5">
        <v>51</v>
      </c>
      <c r="C87" s="5">
        <v>24</v>
      </c>
      <c r="D87" s="5">
        <f t="shared" si="55"/>
        <v>75</v>
      </c>
      <c r="E87" s="6">
        <f t="shared" si="47"/>
        <v>0.47058823529411764</v>
      </c>
      <c r="F87" s="5">
        <v>30</v>
      </c>
      <c r="G87" s="5">
        <v>1</v>
      </c>
      <c r="H87" s="5">
        <f t="shared" si="56"/>
        <v>31</v>
      </c>
      <c r="I87" s="12">
        <f t="shared" si="48"/>
        <v>3.3333333333333333E-2</v>
      </c>
      <c r="J87" s="36">
        <f t="shared" si="49"/>
        <v>7.0833333333333331E-2</v>
      </c>
      <c r="L87" s="20">
        <v>7</v>
      </c>
      <c r="M87" s="5">
        <f>9+5</f>
        <v>14</v>
      </c>
      <c r="N87" s="5">
        <f>8+6</f>
        <v>14</v>
      </c>
      <c r="O87" s="5">
        <f t="shared" si="57"/>
        <v>28</v>
      </c>
      <c r="P87" s="6">
        <f t="shared" si="50"/>
        <v>1</v>
      </c>
      <c r="Q87" s="5">
        <f>3+17+5</f>
        <v>25</v>
      </c>
      <c r="R87" s="5">
        <f>3+6+8</f>
        <v>17</v>
      </c>
      <c r="S87" s="5">
        <f t="shared" si="58"/>
        <v>42</v>
      </c>
      <c r="T87" s="12">
        <f t="shared" si="51"/>
        <v>0.68</v>
      </c>
      <c r="U87" s="43">
        <f t="shared" si="52"/>
        <v>0.68</v>
      </c>
      <c r="W87" s="17">
        <v>2</v>
      </c>
      <c r="X87" s="5">
        <v>75</v>
      </c>
      <c r="Y87" s="5">
        <v>25</v>
      </c>
      <c r="Z87" s="5">
        <f t="shared" si="59"/>
        <v>100</v>
      </c>
      <c r="AA87" s="6">
        <f t="shared" si="64"/>
        <v>0.33333333333333331</v>
      </c>
      <c r="AB87" s="5">
        <v>21</v>
      </c>
      <c r="AC87" s="5">
        <v>0</v>
      </c>
      <c r="AD87" s="5">
        <f t="shared" si="60"/>
        <v>21</v>
      </c>
      <c r="AE87" s="12">
        <f t="shared" ref="AE87:AE94" si="65">AC87/AB87</f>
        <v>0</v>
      </c>
      <c r="AF87" s="36">
        <f t="shared" si="61"/>
        <v>0</v>
      </c>
    </row>
    <row r="88" spans="1:32" x14ac:dyDescent="0.25">
      <c r="A88" s="60">
        <v>4</v>
      </c>
      <c r="B88" s="5">
        <v>74</v>
      </c>
      <c r="C88" s="5">
        <v>36</v>
      </c>
      <c r="D88" s="5">
        <f t="shared" si="55"/>
        <v>110</v>
      </c>
      <c r="E88" s="6">
        <f t="shared" si="47"/>
        <v>0.48648648648648651</v>
      </c>
      <c r="F88" s="5">
        <v>32</v>
      </c>
      <c r="G88" s="5">
        <v>1</v>
      </c>
      <c r="H88" s="5">
        <f t="shared" si="56"/>
        <v>33</v>
      </c>
      <c r="I88" s="12">
        <f t="shared" si="48"/>
        <v>3.125E-2</v>
      </c>
      <c r="J88" s="36">
        <f t="shared" si="49"/>
        <v>6.4236111111111105E-2</v>
      </c>
      <c r="L88" s="20">
        <v>9</v>
      </c>
      <c r="M88" s="5">
        <f>6+19+7+13</f>
        <v>45</v>
      </c>
      <c r="N88" s="5">
        <f>9+11+6+6</f>
        <v>32</v>
      </c>
      <c r="O88" s="5">
        <f t="shared" si="57"/>
        <v>77</v>
      </c>
      <c r="P88" s="6">
        <f t="shared" si="50"/>
        <v>0.71111111111111114</v>
      </c>
      <c r="Q88" s="5">
        <f>3+14</f>
        <v>17</v>
      </c>
      <c r="R88" s="5">
        <f>7</f>
        <v>7</v>
      </c>
      <c r="S88" s="5">
        <f t="shared" si="58"/>
        <v>24</v>
      </c>
      <c r="T88" s="12">
        <f t="shared" si="51"/>
        <v>0.41176470588235292</v>
      </c>
      <c r="U88" s="43">
        <f t="shared" si="52"/>
        <v>0.57904411764705876</v>
      </c>
      <c r="W88" s="16">
        <v>3</v>
      </c>
      <c r="X88" s="5">
        <v>37</v>
      </c>
      <c r="Y88" s="5">
        <v>29</v>
      </c>
      <c r="Z88" s="5">
        <f t="shared" si="59"/>
        <v>66</v>
      </c>
      <c r="AA88" s="6">
        <f t="shared" si="64"/>
        <v>0.78378378378378377</v>
      </c>
      <c r="AB88" s="5">
        <v>22</v>
      </c>
      <c r="AC88" s="5">
        <v>0</v>
      </c>
      <c r="AD88" s="5">
        <f t="shared" si="60"/>
        <v>22</v>
      </c>
      <c r="AE88" s="12">
        <f t="shared" si="65"/>
        <v>0</v>
      </c>
      <c r="AF88" s="36">
        <f t="shared" ref="AF88" si="66">AE88/AA88</f>
        <v>0</v>
      </c>
    </row>
    <row r="89" spans="1:32" x14ac:dyDescent="0.25">
      <c r="A89" s="60">
        <v>1</v>
      </c>
      <c r="B89" s="5">
        <v>79</v>
      </c>
      <c r="C89" s="5">
        <v>44</v>
      </c>
      <c r="D89" s="5">
        <f t="shared" si="55"/>
        <v>123</v>
      </c>
      <c r="E89" s="6">
        <f t="shared" si="47"/>
        <v>0.55696202531645567</v>
      </c>
      <c r="F89" s="5">
        <v>37</v>
      </c>
      <c r="G89" s="5">
        <v>1</v>
      </c>
      <c r="H89" s="5">
        <f t="shared" si="56"/>
        <v>38</v>
      </c>
      <c r="I89" s="12">
        <f t="shared" si="48"/>
        <v>2.7027027027027029E-2</v>
      </c>
      <c r="J89" s="36">
        <f t="shared" si="49"/>
        <v>4.8525798525798532E-2</v>
      </c>
      <c r="L89" s="20">
        <v>2</v>
      </c>
      <c r="M89" s="5">
        <f>29+22+11+29</f>
        <v>91</v>
      </c>
      <c r="N89" s="5">
        <f>24+12+8+12</f>
        <v>56</v>
      </c>
      <c r="O89" s="5">
        <f t="shared" si="57"/>
        <v>147</v>
      </c>
      <c r="P89" s="6">
        <f t="shared" si="50"/>
        <v>0.61538461538461542</v>
      </c>
      <c r="Q89" s="5">
        <f>18</f>
        <v>18</v>
      </c>
      <c r="R89" s="5">
        <v>6</v>
      </c>
      <c r="S89" s="5">
        <f t="shared" si="58"/>
        <v>24</v>
      </c>
      <c r="T89" s="12">
        <f t="shared" si="51"/>
        <v>0.33333333333333331</v>
      </c>
      <c r="U89" s="43">
        <f t="shared" si="52"/>
        <v>0.54166666666666663</v>
      </c>
      <c r="W89" s="17">
        <v>4</v>
      </c>
      <c r="X89" s="5">
        <v>88</v>
      </c>
      <c r="Y89" s="5">
        <v>35</v>
      </c>
      <c r="Z89" s="5">
        <f t="shared" si="59"/>
        <v>123</v>
      </c>
      <c r="AA89" s="6">
        <f t="shared" si="64"/>
        <v>0.39772727272727271</v>
      </c>
      <c r="AB89" s="5">
        <v>25</v>
      </c>
      <c r="AC89" s="5">
        <v>0</v>
      </c>
      <c r="AD89" s="5">
        <f t="shared" si="60"/>
        <v>25</v>
      </c>
      <c r="AE89" s="12">
        <f t="shared" si="65"/>
        <v>0</v>
      </c>
      <c r="AF89" s="36">
        <f t="shared" si="61"/>
        <v>0</v>
      </c>
    </row>
    <row r="90" spans="1:32" ht="15.75" thickBot="1" x14ac:dyDescent="0.3">
      <c r="A90" s="61">
        <v>2</v>
      </c>
      <c r="B90" s="13">
        <v>35</v>
      </c>
      <c r="C90" s="13">
        <v>49</v>
      </c>
      <c r="D90" s="5">
        <f t="shared" si="55"/>
        <v>84</v>
      </c>
      <c r="E90" s="14">
        <f t="shared" si="47"/>
        <v>1.4</v>
      </c>
      <c r="F90" s="13">
        <v>27</v>
      </c>
      <c r="G90" s="13">
        <v>0</v>
      </c>
      <c r="H90" s="5">
        <f t="shared" si="56"/>
        <v>27</v>
      </c>
      <c r="I90" s="15">
        <f t="shared" si="48"/>
        <v>0</v>
      </c>
      <c r="J90" s="37">
        <f t="shared" si="49"/>
        <v>0</v>
      </c>
      <c r="L90" s="21">
        <v>10</v>
      </c>
      <c r="M90" s="13">
        <f>7+17+8+26</f>
        <v>58</v>
      </c>
      <c r="N90" s="13">
        <f>6+12+7+17</f>
        <v>42</v>
      </c>
      <c r="O90" s="5">
        <f t="shared" si="57"/>
        <v>100</v>
      </c>
      <c r="P90" s="14">
        <f t="shared" si="50"/>
        <v>0.72413793103448276</v>
      </c>
      <c r="Q90" s="13">
        <f>22</f>
        <v>22</v>
      </c>
      <c r="R90" s="13">
        <f>7</f>
        <v>7</v>
      </c>
      <c r="S90" s="5">
        <f t="shared" si="58"/>
        <v>29</v>
      </c>
      <c r="T90" s="15">
        <f t="shared" si="51"/>
        <v>0.31818181818181818</v>
      </c>
      <c r="U90" s="66">
        <f t="shared" si="52"/>
        <v>0.43939393939393939</v>
      </c>
      <c r="W90" s="17">
        <v>5</v>
      </c>
      <c r="X90" s="5">
        <v>89</v>
      </c>
      <c r="Y90" s="5">
        <v>26</v>
      </c>
      <c r="Z90" s="5">
        <f t="shared" si="59"/>
        <v>115</v>
      </c>
      <c r="AA90" s="6">
        <f t="shared" si="64"/>
        <v>0.29213483146067415</v>
      </c>
      <c r="AB90" s="5">
        <v>27</v>
      </c>
      <c r="AC90" s="5">
        <v>0</v>
      </c>
      <c r="AD90" s="5">
        <f t="shared" si="60"/>
        <v>27</v>
      </c>
      <c r="AE90" s="12">
        <f t="shared" si="65"/>
        <v>0</v>
      </c>
      <c r="AF90" s="36">
        <f t="shared" si="61"/>
        <v>0</v>
      </c>
    </row>
    <row r="91" spans="1:32" ht="15.75" thickBot="1" x14ac:dyDescent="0.3">
      <c r="A91" s="30">
        <f>COUNT(A70:A90)</f>
        <v>21</v>
      </c>
      <c r="B91" s="41">
        <f>SUM(B70:B90)</f>
        <v>1124</v>
      </c>
      <c r="C91" s="41">
        <f>SUM(C70:C90)</f>
        <v>681</v>
      </c>
      <c r="D91" s="41"/>
      <c r="E91" s="28">
        <f t="shared" si="47"/>
        <v>0.60587188612099641</v>
      </c>
      <c r="F91" s="41">
        <f>SUM(F70:F90)</f>
        <v>706</v>
      </c>
      <c r="G91" s="41">
        <f>SUM(G70:G90)</f>
        <v>73</v>
      </c>
      <c r="H91" s="41"/>
      <c r="I91" s="42">
        <f>AVERAGE(I70:I90)</f>
        <v>0.10512491438922365</v>
      </c>
      <c r="J91" s="28">
        <f>AVERAGE(J70:J90)</f>
        <v>0.20375578562913063</v>
      </c>
      <c r="L91" s="22">
        <f>COUNT(L70:L90)</f>
        <v>21</v>
      </c>
      <c r="M91" s="25">
        <f>SUM(M70:M90)</f>
        <v>1799</v>
      </c>
      <c r="N91" s="25">
        <f>SUM(N70:N90)</f>
        <v>971</v>
      </c>
      <c r="O91" s="25"/>
      <c r="P91" s="24">
        <f>AVERAGE(P70:P90)</f>
        <v>0.5691972458285478</v>
      </c>
      <c r="Q91" s="25">
        <f>SUM(Q70:Q90)</f>
        <v>713</v>
      </c>
      <c r="R91" s="25">
        <f>SUM(R70:R90)</f>
        <v>372</v>
      </c>
      <c r="S91" s="25"/>
      <c r="T91" s="24">
        <f>AVERAGE(T70:T90)</f>
        <v>0.53670968726593282</v>
      </c>
      <c r="U91" s="24">
        <f>AVERAGE(U70:U90)</f>
        <v>0.99152969894433962</v>
      </c>
      <c r="W91" s="17">
        <v>6</v>
      </c>
      <c r="X91" s="5">
        <v>60</v>
      </c>
      <c r="Y91" s="5">
        <v>29</v>
      </c>
      <c r="Z91" s="5">
        <f t="shared" si="59"/>
        <v>89</v>
      </c>
      <c r="AA91" s="6">
        <f t="shared" si="64"/>
        <v>0.48333333333333334</v>
      </c>
      <c r="AB91" s="5">
        <v>26</v>
      </c>
      <c r="AC91" s="5">
        <v>0</v>
      </c>
      <c r="AD91" s="5">
        <f t="shared" si="60"/>
        <v>26</v>
      </c>
      <c r="AE91" s="12">
        <f t="shared" si="65"/>
        <v>0</v>
      </c>
      <c r="AF91" s="36">
        <f t="shared" si="61"/>
        <v>0</v>
      </c>
    </row>
    <row r="92" spans="1:32" ht="15.75" thickBot="1" x14ac:dyDescent="0.3">
      <c r="J92" s="24">
        <f>STDEV(J70:J90)</f>
        <v>0.18199765969048212</v>
      </c>
      <c r="U92" s="24">
        <f>STDEV(U70:U90)</f>
        <v>0.34744032516909551</v>
      </c>
      <c r="W92" s="17">
        <v>7</v>
      </c>
      <c r="X92" s="5">
        <v>67</v>
      </c>
      <c r="Y92" s="5">
        <v>27</v>
      </c>
      <c r="Z92" s="5">
        <f t="shared" si="59"/>
        <v>94</v>
      </c>
      <c r="AA92" s="6">
        <f t="shared" si="64"/>
        <v>0.40298507462686567</v>
      </c>
      <c r="AB92" s="5">
        <v>27</v>
      </c>
      <c r="AC92" s="5">
        <v>0</v>
      </c>
      <c r="AD92" s="5">
        <f t="shared" si="60"/>
        <v>27</v>
      </c>
      <c r="AE92" s="12">
        <f t="shared" si="65"/>
        <v>0</v>
      </c>
      <c r="AF92" s="36">
        <f t="shared" si="61"/>
        <v>0</v>
      </c>
    </row>
    <row r="93" spans="1:32" ht="15.75" thickBot="1" x14ac:dyDescent="0.3">
      <c r="J93" s="24">
        <f>J92/SQRT(A91)</f>
        <v>3.9715145325545126E-2</v>
      </c>
      <c r="U93" s="24">
        <f>U92/SQRT(L91)</f>
        <v>7.5817694741307187E-2</v>
      </c>
      <c r="W93" s="17">
        <v>9</v>
      </c>
      <c r="X93" s="5">
        <v>69</v>
      </c>
      <c r="Y93" s="5">
        <v>28</v>
      </c>
      <c r="Z93" s="5">
        <f t="shared" si="59"/>
        <v>97</v>
      </c>
      <c r="AA93" s="6">
        <f>Y93/X93</f>
        <v>0.40579710144927539</v>
      </c>
      <c r="AB93" s="5">
        <v>27</v>
      </c>
      <c r="AC93" s="5">
        <v>0</v>
      </c>
      <c r="AD93" s="5">
        <f t="shared" si="60"/>
        <v>27</v>
      </c>
      <c r="AE93" s="12">
        <f t="shared" si="65"/>
        <v>0</v>
      </c>
      <c r="AF93" s="36">
        <f t="shared" si="61"/>
        <v>0</v>
      </c>
    </row>
    <row r="94" spans="1:32" ht="15.75" thickBot="1" x14ac:dyDescent="0.3">
      <c r="W94" s="31">
        <v>10</v>
      </c>
      <c r="X94" s="13">
        <v>85</v>
      </c>
      <c r="Y94" s="13">
        <v>45</v>
      </c>
      <c r="Z94" s="5">
        <f t="shared" si="59"/>
        <v>130</v>
      </c>
      <c r="AA94" s="14">
        <f>Y94/X94</f>
        <v>0.52941176470588236</v>
      </c>
      <c r="AB94" s="13">
        <v>33</v>
      </c>
      <c r="AC94" s="13">
        <v>0</v>
      </c>
      <c r="AD94" s="5">
        <f t="shared" si="60"/>
        <v>33</v>
      </c>
      <c r="AE94" s="15">
        <f t="shared" si="65"/>
        <v>0</v>
      </c>
      <c r="AF94" s="37">
        <f t="shared" si="61"/>
        <v>0</v>
      </c>
    </row>
    <row r="95" spans="1:32" ht="15.75" thickBot="1" x14ac:dyDescent="0.3">
      <c r="W95" s="22">
        <f>COUNT(W70:W94)</f>
        <v>25</v>
      </c>
      <c r="X95" s="25">
        <f>SUM(X70:X94)</f>
        <v>2176</v>
      </c>
      <c r="Y95" s="25">
        <f>SUM(Y70:Y94)</f>
        <v>1030</v>
      </c>
      <c r="Z95" s="25"/>
      <c r="AA95" s="24">
        <f>AVERAGE(AA70:AA94)</f>
        <v>0.48724730285679768</v>
      </c>
      <c r="AB95" s="25">
        <f>SUM(AB70:AB94)</f>
        <v>706</v>
      </c>
      <c r="AC95" s="25">
        <f>SUM(AC70:AC94)</f>
        <v>0</v>
      </c>
      <c r="AD95" s="25"/>
      <c r="AE95" s="24">
        <f>AVERAGE(AE70:AE94)</f>
        <v>0</v>
      </c>
      <c r="AF95" s="28">
        <f>AVERAGE(AF70:AF94)</f>
        <v>0</v>
      </c>
    </row>
    <row r="96" spans="1:32" ht="15.75" thickBot="1" x14ac:dyDescent="0.3">
      <c r="AF96" s="24">
        <f>STDEV(AF70:AF94)</f>
        <v>0</v>
      </c>
    </row>
    <row r="97" spans="32:32" ht="15.75" thickBot="1" x14ac:dyDescent="0.3">
      <c r="AF97" s="24">
        <f>AF96/SQRT(W95)</f>
        <v>0</v>
      </c>
    </row>
  </sheetData>
  <sortState ref="L5:U28">
    <sortCondition descending="1" ref="U4:U28"/>
  </sortState>
  <mergeCells count="49">
    <mergeCell ref="A1:J1"/>
    <mergeCell ref="L1:U1"/>
    <mergeCell ref="W1:AF1"/>
    <mergeCell ref="AB2:AE2"/>
    <mergeCell ref="X2:AA2"/>
    <mergeCell ref="Q2:T2"/>
    <mergeCell ref="M2:P2"/>
    <mergeCell ref="AH1:AQ1"/>
    <mergeCell ref="A34:A35"/>
    <mergeCell ref="J34:J35"/>
    <mergeCell ref="L34:L35"/>
    <mergeCell ref="U34:U35"/>
    <mergeCell ref="W34:W35"/>
    <mergeCell ref="AF34:AF35"/>
    <mergeCell ref="AQ34:AQ35"/>
    <mergeCell ref="A2:A3"/>
    <mergeCell ref="J2:J3"/>
    <mergeCell ref="L2:L3"/>
    <mergeCell ref="U2:U3"/>
    <mergeCell ref="AH2:AH3"/>
    <mergeCell ref="AQ2:AQ3"/>
    <mergeCell ref="AI2:AL2"/>
    <mergeCell ref="AM2:AP2"/>
    <mergeCell ref="AM34:AP34"/>
    <mergeCell ref="F2:I2"/>
    <mergeCell ref="B2:E2"/>
    <mergeCell ref="B34:E34"/>
    <mergeCell ref="F34:I34"/>
    <mergeCell ref="M34:P34"/>
    <mergeCell ref="W2:W3"/>
    <mergeCell ref="AF2:AF3"/>
    <mergeCell ref="AH34:AH35"/>
    <mergeCell ref="Q34:T34"/>
    <mergeCell ref="X34:AA34"/>
    <mergeCell ref="AB34:AE34"/>
    <mergeCell ref="A68:A69"/>
    <mergeCell ref="J68:J69"/>
    <mergeCell ref="L68:L69"/>
    <mergeCell ref="AI34:AL34"/>
    <mergeCell ref="W57:Y57"/>
    <mergeCell ref="AF68:AF69"/>
    <mergeCell ref="U68:U69"/>
    <mergeCell ref="W68:W69"/>
    <mergeCell ref="B68:E68"/>
    <mergeCell ref="AB68:AE68"/>
    <mergeCell ref="X68:AA68"/>
    <mergeCell ref="Q68:T68"/>
    <mergeCell ref="M68:P68"/>
    <mergeCell ref="F68:I6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zoomScale="110" zoomScaleNormal="110" workbookViewId="0">
      <selection activeCell="A3" sqref="A3"/>
    </sheetView>
  </sheetViews>
  <sheetFormatPr defaultColWidth="9.140625" defaultRowHeight="12.75" x14ac:dyDescent="0.2"/>
  <cols>
    <col min="1" max="1" width="11.7109375" style="3" customWidth="1"/>
    <col min="2" max="2" width="5.85546875" style="1" customWidth="1"/>
    <col min="3" max="3" width="6" style="1" customWidth="1"/>
    <col min="4" max="4" width="5.85546875" style="1" customWidth="1"/>
    <col min="5" max="5" width="6.28515625" style="1" customWidth="1"/>
    <col min="6" max="6" width="6.28515625" style="2" customWidth="1"/>
    <col min="7" max="7" width="6" style="4" customWidth="1"/>
    <col min="8" max="8" width="5.7109375" style="1" customWidth="1"/>
    <col min="9" max="9" width="6" style="1" customWidth="1"/>
    <col min="10" max="10" width="6.7109375" style="1" customWidth="1"/>
    <col min="11" max="11" width="5.85546875" style="1" customWidth="1"/>
    <col min="12" max="12" width="7" style="1" customWidth="1"/>
    <col min="13" max="13" width="6.7109375" style="1" customWidth="1"/>
    <col min="14" max="14" width="6.28515625" style="4" customWidth="1"/>
    <col min="15" max="15" width="6.28515625" style="1" customWidth="1"/>
    <col min="16" max="17" width="5.7109375" style="1" customWidth="1"/>
    <col min="18" max="18" width="6.140625" style="1" customWidth="1"/>
    <col min="19" max="19" width="6.42578125" style="1" customWidth="1"/>
    <col min="20" max="20" width="6.28515625" style="1" customWidth="1"/>
    <col min="21" max="21" width="6.42578125" style="4" customWidth="1"/>
    <col min="22" max="22" width="6.5703125" style="1" customWidth="1"/>
    <col min="23" max="24" width="5.7109375" style="1" customWidth="1"/>
    <col min="25" max="25" width="6.28515625" style="1" customWidth="1"/>
    <col min="26" max="26" width="10.7109375" style="1" customWidth="1"/>
    <col min="27" max="27" width="7.7109375" style="1" customWidth="1"/>
    <col min="28" max="28" width="0.42578125" style="4" customWidth="1"/>
    <col min="29" max="16384" width="9.140625" style="1"/>
  </cols>
  <sheetData>
    <row r="1" spans="1:28" ht="24.75" customHeight="1" thickBot="1" x14ac:dyDescent="0.25">
      <c r="A1" s="214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136"/>
      <c r="AA1" s="136"/>
    </row>
    <row r="2" spans="1:28" ht="15.75" customHeight="1" thickBot="1" x14ac:dyDescent="0.25">
      <c r="B2" s="220" t="s">
        <v>22</v>
      </c>
      <c r="C2" s="221"/>
      <c r="D2" s="221"/>
      <c r="E2" s="221"/>
      <c r="F2" s="221"/>
      <c r="G2" s="221"/>
      <c r="H2" s="220" t="s">
        <v>23</v>
      </c>
      <c r="I2" s="221"/>
      <c r="J2" s="221"/>
      <c r="K2" s="221"/>
      <c r="L2" s="221"/>
      <c r="M2" s="221"/>
      <c r="N2" s="221"/>
      <c r="O2" s="221"/>
      <c r="P2" s="221"/>
      <c r="Q2" s="220" t="s">
        <v>24</v>
      </c>
      <c r="R2" s="221"/>
      <c r="S2" s="221"/>
      <c r="T2" s="221"/>
      <c r="U2" s="221"/>
      <c r="V2" s="221"/>
      <c r="W2" s="221"/>
      <c r="X2" s="221"/>
      <c r="Y2" s="225"/>
      <c r="AB2" s="1"/>
    </row>
    <row r="3" spans="1:28" ht="15.75" customHeight="1" thickBot="1" x14ac:dyDescent="0.25">
      <c r="B3" s="217" t="s">
        <v>29</v>
      </c>
      <c r="C3" s="218"/>
      <c r="D3" s="218"/>
      <c r="E3" s="217" t="s">
        <v>30</v>
      </c>
      <c r="F3" s="218"/>
      <c r="G3" s="219"/>
      <c r="H3" s="217" t="s">
        <v>31</v>
      </c>
      <c r="I3" s="218"/>
      <c r="J3" s="219"/>
      <c r="K3" s="217" t="s">
        <v>32</v>
      </c>
      <c r="L3" s="218"/>
      <c r="M3" s="219"/>
      <c r="N3" s="217" t="s">
        <v>33</v>
      </c>
      <c r="O3" s="218"/>
      <c r="P3" s="219"/>
      <c r="Q3" s="222" t="s">
        <v>34</v>
      </c>
      <c r="R3" s="223"/>
      <c r="S3" s="224"/>
      <c r="T3" s="222" t="s">
        <v>35</v>
      </c>
      <c r="U3" s="223"/>
      <c r="V3" s="223"/>
      <c r="W3" s="222" t="s">
        <v>36</v>
      </c>
      <c r="X3" s="223"/>
      <c r="Y3" s="224"/>
      <c r="AB3" s="1"/>
    </row>
    <row r="4" spans="1:28" ht="13.5" thickBot="1" x14ac:dyDescent="0.25">
      <c r="B4" s="134" t="s">
        <v>25</v>
      </c>
      <c r="C4" s="135" t="s">
        <v>27</v>
      </c>
      <c r="D4" s="142" t="s">
        <v>26</v>
      </c>
      <c r="E4" s="134" t="s">
        <v>25</v>
      </c>
      <c r="F4" s="135" t="s">
        <v>27</v>
      </c>
      <c r="G4" s="142" t="s">
        <v>26</v>
      </c>
      <c r="H4" s="134" t="s">
        <v>25</v>
      </c>
      <c r="I4" s="135" t="s">
        <v>27</v>
      </c>
      <c r="J4" s="142" t="s">
        <v>26</v>
      </c>
      <c r="K4" s="134" t="s">
        <v>25</v>
      </c>
      <c r="L4" s="135" t="s">
        <v>27</v>
      </c>
      <c r="M4" s="142" t="s">
        <v>26</v>
      </c>
      <c r="N4" s="134" t="s">
        <v>25</v>
      </c>
      <c r="O4" s="135" t="s">
        <v>27</v>
      </c>
      <c r="P4" s="142" t="s">
        <v>26</v>
      </c>
      <c r="Q4" s="134" t="s">
        <v>25</v>
      </c>
      <c r="R4" s="135" t="s">
        <v>27</v>
      </c>
      <c r="S4" s="142" t="s">
        <v>26</v>
      </c>
      <c r="T4" s="134" t="s">
        <v>25</v>
      </c>
      <c r="U4" s="135" t="s">
        <v>27</v>
      </c>
      <c r="V4" s="144" t="s">
        <v>26</v>
      </c>
      <c r="W4" s="133" t="s">
        <v>25</v>
      </c>
      <c r="X4" s="137" t="s">
        <v>27</v>
      </c>
      <c r="Y4" s="145" t="s">
        <v>26</v>
      </c>
      <c r="AB4" s="1"/>
    </row>
    <row r="5" spans="1:28" x14ac:dyDescent="0.2">
      <c r="A5" s="129" t="s">
        <v>19</v>
      </c>
      <c r="B5" s="127">
        <v>1508</v>
      </c>
      <c r="C5" s="126">
        <v>1407</v>
      </c>
      <c r="D5" s="146">
        <f>C5/B5</f>
        <v>0.93302387267904507</v>
      </c>
      <c r="E5" s="156">
        <v>1266</v>
      </c>
      <c r="F5" s="157">
        <v>589</v>
      </c>
      <c r="G5" s="146">
        <f>F5/E5</f>
        <v>0.46524486571879936</v>
      </c>
      <c r="H5" s="156"/>
      <c r="I5" s="125"/>
      <c r="J5" s="146"/>
      <c r="K5" s="156">
        <v>1751</v>
      </c>
      <c r="L5" s="125">
        <v>1283</v>
      </c>
      <c r="M5" s="146">
        <f>L5/K5</f>
        <v>0.73272415762421472</v>
      </c>
      <c r="N5" s="156">
        <v>1598</v>
      </c>
      <c r="O5" s="125">
        <v>847</v>
      </c>
      <c r="P5" s="146">
        <f>O5/N5</f>
        <v>0.53003754693366711</v>
      </c>
      <c r="Q5" s="156">
        <v>1129</v>
      </c>
      <c r="R5" s="125">
        <v>934</v>
      </c>
      <c r="S5" s="146">
        <f>R5/Q5</f>
        <v>0.82728077945084144</v>
      </c>
      <c r="T5" s="156">
        <v>1711</v>
      </c>
      <c r="U5" s="125">
        <v>1353</v>
      </c>
      <c r="V5" s="146">
        <f>U5/T5</f>
        <v>0.79076563413208645</v>
      </c>
      <c r="W5" s="156">
        <v>1124</v>
      </c>
      <c r="X5" s="125">
        <v>706</v>
      </c>
      <c r="Y5" s="146">
        <f>X5/W5</f>
        <v>0.62811387900355875</v>
      </c>
      <c r="AB5" s="1"/>
    </row>
    <row r="6" spans="1:28" ht="13.5" thickBot="1" x14ac:dyDescent="0.25">
      <c r="A6" s="130" t="s">
        <v>20</v>
      </c>
      <c r="B6" s="128">
        <v>2594</v>
      </c>
      <c r="C6" s="123">
        <v>2073</v>
      </c>
      <c r="D6" s="147">
        <f t="shared" ref="D6:D8" si="0">C6/B6</f>
        <v>0.79915188897455669</v>
      </c>
      <c r="E6" s="158">
        <v>4054</v>
      </c>
      <c r="F6" s="159">
        <v>2605</v>
      </c>
      <c r="G6" s="147">
        <f t="shared" ref="G6:G8" si="1">F6/E6</f>
        <v>0.6425752343364578</v>
      </c>
      <c r="H6" s="158"/>
      <c r="I6" s="122"/>
      <c r="J6" s="147"/>
      <c r="K6" s="158">
        <v>2264</v>
      </c>
      <c r="L6" s="122">
        <v>1840</v>
      </c>
      <c r="M6" s="147">
        <f t="shared" ref="M6:M8" si="2">L6/K6</f>
        <v>0.8127208480565371</v>
      </c>
      <c r="N6" s="160">
        <v>1866</v>
      </c>
      <c r="O6" s="124">
        <v>775</v>
      </c>
      <c r="P6" s="161">
        <f t="shared" ref="P6" si="3">O6/N6</f>
        <v>0.41532690246516613</v>
      </c>
      <c r="Q6" s="158">
        <v>2195</v>
      </c>
      <c r="R6" s="122">
        <v>1780</v>
      </c>
      <c r="S6" s="147">
        <f t="shared" ref="S6:S8" si="4">R6/Q6</f>
        <v>0.81093394077448744</v>
      </c>
      <c r="T6" s="158">
        <v>2061</v>
      </c>
      <c r="U6" s="122">
        <v>1434</v>
      </c>
      <c r="V6" s="147">
        <f t="shared" ref="V6:V8" si="5">U6/T6</f>
        <v>0.6957787481804949</v>
      </c>
      <c r="W6" s="158">
        <v>1799</v>
      </c>
      <c r="X6" s="122">
        <v>713</v>
      </c>
      <c r="Y6" s="147">
        <f t="shared" ref="Y6:Y7" si="6">X6/W6</f>
        <v>0.39633129516397997</v>
      </c>
      <c r="AB6" s="1"/>
    </row>
    <row r="7" spans="1:28" ht="13.5" thickBot="1" x14ac:dyDescent="0.25">
      <c r="A7" s="130" t="s">
        <v>0</v>
      </c>
      <c r="B7" s="128">
        <v>2162</v>
      </c>
      <c r="C7" s="123">
        <v>1566</v>
      </c>
      <c r="D7" s="147">
        <f t="shared" si="0"/>
        <v>0.72432932469935241</v>
      </c>
      <c r="E7" s="158">
        <v>1639</v>
      </c>
      <c r="F7" s="159">
        <v>1087</v>
      </c>
      <c r="G7" s="147">
        <f t="shared" si="1"/>
        <v>0.66320927394752893</v>
      </c>
      <c r="H7" s="156">
        <v>2487</v>
      </c>
      <c r="I7" s="162">
        <v>1980</v>
      </c>
      <c r="J7" s="146">
        <f t="shared" ref="J7:J8" si="7">I7/H7</f>
        <v>0.79613992762364294</v>
      </c>
      <c r="K7" s="158">
        <v>2023</v>
      </c>
      <c r="L7" s="122">
        <v>1814</v>
      </c>
      <c r="M7" s="147">
        <f t="shared" si="2"/>
        <v>0.89668808699950564</v>
      </c>
      <c r="N7" s="158"/>
      <c r="O7" s="122"/>
      <c r="P7" s="147"/>
      <c r="Q7" s="158">
        <v>839</v>
      </c>
      <c r="R7" s="122">
        <v>965</v>
      </c>
      <c r="S7" s="147">
        <f t="shared" si="4"/>
        <v>1.1501787842669846</v>
      </c>
      <c r="T7" s="158">
        <v>1478</v>
      </c>
      <c r="U7" s="122">
        <v>742</v>
      </c>
      <c r="V7" s="147">
        <f t="shared" si="5"/>
        <v>0.50202976995940463</v>
      </c>
      <c r="W7" s="160">
        <v>2176</v>
      </c>
      <c r="X7" s="124">
        <v>706</v>
      </c>
      <c r="Y7" s="161">
        <f t="shared" si="6"/>
        <v>0.32444852941176472</v>
      </c>
      <c r="AB7" s="1"/>
    </row>
    <row r="8" spans="1:28" ht="13.5" thickBot="1" x14ac:dyDescent="0.25">
      <c r="A8" s="131" t="s">
        <v>21</v>
      </c>
      <c r="B8" s="128">
        <v>2130</v>
      </c>
      <c r="C8" s="123">
        <v>1731</v>
      </c>
      <c r="D8" s="147">
        <f t="shared" si="0"/>
        <v>0.8126760563380282</v>
      </c>
      <c r="E8" s="158">
        <v>1822</v>
      </c>
      <c r="F8" s="159">
        <v>1428</v>
      </c>
      <c r="G8" s="147">
        <f t="shared" si="1"/>
        <v>0.78375411635565317</v>
      </c>
      <c r="H8" s="160">
        <v>1562</v>
      </c>
      <c r="I8" s="163">
        <v>1336</v>
      </c>
      <c r="J8" s="161">
        <f t="shared" si="7"/>
        <v>0.85531370038412291</v>
      </c>
      <c r="K8" s="158">
        <v>2045</v>
      </c>
      <c r="L8" s="122">
        <v>1797</v>
      </c>
      <c r="M8" s="147">
        <f t="shared" si="2"/>
        <v>0.87872860635696826</v>
      </c>
      <c r="N8" s="158"/>
      <c r="O8" s="122"/>
      <c r="P8" s="147"/>
      <c r="Q8" s="158">
        <v>599</v>
      </c>
      <c r="R8" s="122">
        <v>540</v>
      </c>
      <c r="S8" s="147">
        <f t="shared" si="4"/>
        <v>0.90150250417362265</v>
      </c>
      <c r="T8" s="158">
        <v>2130</v>
      </c>
      <c r="U8" s="122">
        <v>1731</v>
      </c>
      <c r="V8" s="147">
        <f t="shared" si="5"/>
        <v>0.8126760563380282</v>
      </c>
      <c r="W8" s="158"/>
      <c r="X8" s="122"/>
      <c r="Y8" s="147"/>
      <c r="AB8" s="1"/>
    </row>
    <row r="9" spans="1:28" ht="13.5" thickBot="1" x14ac:dyDescent="0.25">
      <c r="A9" s="132" t="s">
        <v>17</v>
      </c>
      <c r="B9" s="138">
        <f>SUM(B5:B8)</f>
        <v>8394</v>
      </c>
      <c r="C9" s="139">
        <f>SUM(C5:C8)</f>
        <v>6777</v>
      </c>
      <c r="D9" s="143">
        <f>C9/B9</f>
        <v>0.8073624017155111</v>
      </c>
      <c r="E9" s="138">
        <f>SUM(E5:E8)</f>
        <v>8781</v>
      </c>
      <c r="F9" s="141">
        <f>SUM(F5:F8)</f>
        <v>5709</v>
      </c>
      <c r="G9" s="143">
        <f>F9/E9</f>
        <v>0.65015374103177315</v>
      </c>
      <c r="H9" s="138">
        <f>SUM(H5:H8)</f>
        <v>4049</v>
      </c>
      <c r="I9" s="139">
        <f>SUM(I5:I8)</f>
        <v>3316</v>
      </c>
      <c r="J9" s="143">
        <f t="shared" ref="J9" si="8">I9/H9</f>
        <v>0.8189676463324278</v>
      </c>
      <c r="K9" s="138">
        <f>SUM(K5:K8)</f>
        <v>8083</v>
      </c>
      <c r="L9" s="140">
        <f>SUM(L5:L8)</f>
        <v>6734</v>
      </c>
      <c r="M9" s="143">
        <f t="shared" ref="M9" si="9">L9/K9</f>
        <v>0.83310651985648898</v>
      </c>
      <c r="N9" s="138">
        <f>SUM(N5:N8)</f>
        <v>3464</v>
      </c>
      <c r="O9" s="139">
        <f>SUM(O5:O8)</f>
        <v>1622</v>
      </c>
      <c r="P9" s="143">
        <f t="shared" ref="P9" si="10">O9/N9</f>
        <v>0.46824480369515009</v>
      </c>
      <c r="Q9" s="138">
        <f>SUM(Q5:Q8)</f>
        <v>4762</v>
      </c>
      <c r="R9" s="140">
        <f>SUM(R5:R8)</f>
        <v>4219</v>
      </c>
      <c r="S9" s="143">
        <f t="shared" ref="S9" si="11">R9/Q9</f>
        <v>0.88597228055438892</v>
      </c>
      <c r="T9" s="138">
        <f>SUM(T5:T8)</f>
        <v>7380</v>
      </c>
      <c r="U9" s="139">
        <f>SUM(U5:U8)</f>
        <v>5260</v>
      </c>
      <c r="V9" s="143">
        <f t="shared" ref="V9" si="12">U9/T9</f>
        <v>0.7127371273712737</v>
      </c>
      <c r="W9" s="138">
        <f>SUM(W5:W8)</f>
        <v>5099</v>
      </c>
      <c r="X9" s="140">
        <f>SUM(X5:X8)</f>
        <v>2125</v>
      </c>
      <c r="Y9" s="143">
        <f t="shared" ref="Y9" si="13">X9/W9</f>
        <v>0.41674838203569325</v>
      </c>
      <c r="Z9" s="2">
        <f>AVERAGE(D9,J9,S9)</f>
        <v>0.83743410953410924</v>
      </c>
      <c r="AB9" s="1"/>
    </row>
    <row r="10" spans="1:28" ht="13.5" thickBot="1" x14ac:dyDescent="0.25">
      <c r="G10" s="148">
        <f>G9/D9</f>
        <v>0.80528117193753923</v>
      </c>
      <c r="P10" s="148">
        <f>P9/M9</f>
        <v>0.56204674016452305</v>
      </c>
      <c r="V10" s="148">
        <f>V9/S9</f>
        <v>0.8044688790097192</v>
      </c>
      <c r="Y10" s="148">
        <f>Y9/S9</f>
        <v>0.47038535085422406</v>
      </c>
    </row>
  </sheetData>
  <mergeCells count="12">
    <mergeCell ref="A1:Y1"/>
    <mergeCell ref="B3:D3"/>
    <mergeCell ref="H3:J3"/>
    <mergeCell ref="E3:G3"/>
    <mergeCell ref="B2:G2"/>
    <mergeCell ref="N3:P3"/>
    <mergeCell ref="Q3:S3"/>
    <mergeCell ref="W3:Y3"/>
    <mergeCell ref="H2:P2"/>
    <mergeCell ref="K3:M3"/>
    <mergeCell ref="T3:V3"/>
    <mergeCell ref="Q2:Y2"/>
  </mergeCells>
  <pageMargins left="0.75" right="0.75" top="1" bottom="1" header="0.5" footer="0.5"/>
  <pageSetup orientation="portrait" r:id="rId1"/>
  <headerFooter alignWithMargins="0"/>
  <ignoredErrors>
    <ignoredError sqref="D9 G9 M9 P9 S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HN2</vt:lpstr>
      <vt:lpstr>MMS</vt:lpstr>
      <vt:lpstr>IR</vt:lpstr>
      <vt:lpstr>Absolute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Kuo</dc:creator>
  <cp:lastModifiedBy>Sonoe Nakasone</cp:lastModifiedBy>
  <cp:lastPrinted>2013-03-14T15:31:16Z</cp:lastPrinted>
  <dcterms:created xsi:type="dcterms:W3CDTF">2012-05-24T15:49:10Z</dcterms:created>
  <dcterms:modified xsi:type="dcterms:W3CDTF">2014-09-02T16:24:15Z</dcterms:modified>
</cp:coreProperties>
</file>