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I17" i="1"/>
  <c r="G12" i="1"/>
  <c r="U12" i="1"/>
  <c r="F12" i="1"/>
  <c r="S12" i="1"/>
  <c r="Q12" i="1"/>
  <c r="I13" i="1"/>
  <c r="D13" i="1"/>
  <c r="Q11" i="1"/>
  <c r="C12" i="1"/>
  <c r="K18" i="1"/>
  <c r="K19" i="1"/>
  <c r="K20" i="1"/>
  <c r="K21" i="1"/>
  <c r="K22" i="1"/>
  <c r="K23" i="1"/>
  <c r="K24" i="1"/>
  <c r="K25" i="1"/>
  <c r="K17" i="1"/>
  <c r="I25" i="1"/>
  <c r="H25" i="1"/>
  <c r="F25" i="1"/>
  <c r="F23" i="1"/>
  <c r="I24" i="1"/>
  <c r="J24" i="1"/>
  <c r="H24" i="1"/>
  <c r="F24" i="1"/>
  <c r="J17" i="1"/>
  <c r="I18" i="1"/>
  <c r="J18" i="1"/>
  <c r="I19" i="1"/>
  <c r="J19" i="1"/>
  <c r="I20" i="1"/>
  <c r="J20" i="1"/>
  <c r="I21" i="1"/>
  <c r="J21" i="1"/>
  <c r="I22" i="1"/>
  <c r="J22" i="1"/>
  <c r="H22" i="1"/>
  <c r="H20" i="1"/>
  <c r="H19" i="1"/>
  <c r="H18" i="1"/>
  <c r="H21" i="1"/>
  <c r="H17" i="1"/>
  <c r="F22" i="1"/>
  <c r="F21" i="1"/>
  <c r="F20" i="1"/>
  <c r="F19" i="1"/>
  <c r="F18" i="1"/>
  <c r="F17" i="1"/>
  <c r="I23" i="1"/>
  <c r="J23" i="1"/>
  <c r="H23" i="1"/>
  <c r="N3" i="1"/>
  <c r="S4" i="1"/>
  <c r="T4" i="1"/>
  <c r="U4" i="1"/>
  <c r="S5" i="1"/>
  <c r="U5" i="1"/>
  <c r="S6" i="1"/>
  <c r="T6" i="1"/>
  <c r="U6" i="1"/>
  <c r="S7" i="1"/>
  <c r="T7" i="1"/>
  <c r="U7" i="1"/>
  <c r="S8" i="1"/>
  <c r="U8" i="1"/>
  <c r="S9" i="1"/>
  <c r="T9" i="1"/>
  <c r="U9" i="1"/>
  <c r="S10" i="1"/>
  <c r="T10" i="1"/>
  <c r="U10" i="1"/>
  <c r="S11" i="1"/>
  <c r="U11" i="1"/>
  <c r="S3" i="1"/>
  <c r="T3" i="1"/>
  <c r="U3" i="1"/>
  <c r="O7" i="1"/>
  <c r="O6" i="1"/>
  <c r="O3" i="1"/>
  <c r="R4" i="1"/>
  <c r="R6" i="1"/>
  <c r="R7" i="1"/>
  <c r="R9" i="1"/>
  <c r="R10" i="1"/>
  <c r="R3" i="1"/>
  <c r="Q5" i="1"/>
  <c r="Q4" i="1"/>
  <c r="Q6" i="1"/>
  <c r="Q7" i="1"/>
  <c r="Q8" i="1"/>
  <c r="Q9" i="1"/>
  <c r="Q10" i="1"/>
  <c r="Q3" i="1"/>
  <c r="C4" i="1"/>
  <c r="C5" i="1"/>
  <c r="C6" i="1"/>
  <c r="C7" i="1"/>
  <c r="C8" i="1"/>
  <c r="C9" i="1"/>
  <c r="C10" i="1"/>
  <c r="C11" i="1"/>
  <c r="C3" i="1"/>
  <c r="B3" i="1"/>
  <c r="N11" i="1"/>
  <c r="N8" i="1"/>
  <c r="N5" i="1"/>
  <c r="N4" i="1"/>
  <c r="N6" i="1"/>
  <c r="N7" i="1"/>
  <c r="N9" i="1"/>
  <c r="N10" i="1"/>
  <c r="D3" i="1"/>
  <c r="F3" i="1"/>
  <c r="E3" i="1"/>
</calcChain>
</file>

<file path=xl/sharedStrings.xml><?xml version="1.0" encoding="utf-8"?>
<sst xmlns="http://schemas.openxmlformats.org/spreadsheetml/2006/main" count="77" uniqueCount="51">
  <si>
    <t>Subbasin</t>
  </si>
  <si>
    <t>Total Area</t>
  </si>
  <si>
    <t>A1</t>
  </si>
  <si>
    <t>L1</t>
  </si>
  <si>
    <t>S1</t>
  </si>
  <si>
    <t>C1</t>
  </si>
  <si>
    <t>A2</t>
  </si>
  <si>
    <t>L2</t>
  </si>
  <si>
    <t>S2</t>
  </si>
  <si>
    <t>C2</t>
  </si>
  <si>
    <t>tc</t>
  </si>
  <si>
    <t>A</t>
  </si>
  <si>
    <t>B</t>
  </si>
  <si>
    <t>C</t>
  </si>
  <si>
    <t>ft2</t>
  </si>
  <si>
    <t>ft</t>
  </si>
  <si>
    <t>min</t>
  </si>
  <si>
    <t>D</t>
  </si>
  <si>
    <t>E</t>
  </si>
  <si>
    <t>F</t>
  </si>
  <si>
    <t>G</t>
  </si>
  <si>
    <t>H</t>
  </si>
  <si>
    <t>I</t>
  </si>
  <si>
    <t>-</t>
  </si>
  <si>
    <t>Cavg</t>
  </si>
  <si>
    <t>Pipe</t>
  </si>
  <si>
    <t>Length</t>
  </si>
  <si>
    <t>Slope</t>
  </si>
  <si>
    <t>%</t>
  </si>
  <si>
    <t>acre</t>
  </si>
  <si>
    <t>in</t>
  </si>
  <si>
    <t>tt1</t>
  </si>
  <si>
    <t>tt2</t>
  </si>
  <si>
    <t>ti1</t>
  </si>
  <si>
    <t>ti2</t>
  </si>
  <si>
    <t>V1</t>
  </si>
  <si>
    <t>ft/s</t>
  </si>
  <si>
    <t>V2</t>
  </si>
  <si>
    <t>% impervious</t>
  </si>
  <si>
    <t>C5</t>
  </si>
  <si>
    <t>(5yr)</t>
  </si>
  <si>
    <t>i</t>
  </si>
  <si>
    <t>Q</t>
  </si>
  <si>
    <t>n</t>
  </si>
  <si>
    <t>Actual Diameter</t>
  </si>
  <si>
    <t>(in/hr)</t>
  </si>
  <si>
    <t>(acres)</t>
  </si>
  <si>
    <t>(cfs)</t>
  </si>
  <si>
    <t>Required Diameter</t>
  </si>
  <si>
    <t>Total</t>
  </si>
  <si>
    <r>
      <t>ft</t>
    </r>
    <r>
      <rPr>
        <b/>
        <vertAlign val="superscript"/>
        <sz val="12"/>
        <color theme="1"/>
        <rFont val="Calibri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</si>
</sst>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2"/>
      <color theme="1"/>
      <name val="Calibri"/>
      <family val="2"/>
      <charset val="128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vertAlign val="superscript"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125" zoomScaleNormal="125" zoomScalePageLayoutView="125" workbookViewId="0">
      <selection activeCell="L18" sqref="L18"/>
    </sheetView>
  </sheetViews>
  <sheetFormatPr baseColWidth="10" defaultRowHeight="15" x14ac:dyDescent="0"/>
  <cols>
    <col min="1" max="1" width="8.83203125" style="1" bestFit="1" customWidth="1"/>
    <col min="2" max="2" width="9.83203125" style="1" customWidth="1"/>
    <col min="3" max="3" width="9.5" style="1" bestFit="1" customWidth="1"/>
    <col min="4" max="4" width="8" style="1" customWidth="1"/>
    <col min="5" max="7" width="7.1640625" style="1" customWidth="1"/>
    <col min="8" max="8" width="8.33203125" style="1" customWidth="1"/>
    <col min="9" max="9" width="7.1640625" style="1" customWidth="1"/>
    <col min="10" max="10" width="9.6640625" style="1" customWidth="1"/>
    <col min="11" max="14" width="10.83203125" style="1" customWidth="1"/>
    <col min="15" max="16" width="12.5" style="1" customWidth="1"/>
    <col min="17" max="20" width="10.83203125" style="1" customWidth="1"/>
    <col min="21" max="16384" width="10.83203125" style="1"/>
  </cols>
  <sheetData>
    <row r="1" spans="1:21">
      <c r="A1" s="9" t="s">
        <v>0</v>
      </c>
      <c r="B1" s="10" t="s">
        <v>1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35</v>
      </c>
      <c r="I1" s="10" t="s">
        <v>6</v>
      </c>
      <c r="J1" s="10" t="s">
        <v>7</v>
      </c>
      <c r="K1" s="10" t="s">
        <v>8</v>
      </c>
      <c r="L1" s="10" t="s">
        <v>9</v>
      </c>
      <c r="M1" s="17" t="s">
        <v>37</v>
      </c>
      <c r="N1" s="17" t="s">
        <v>24</v>
      </c>
      <c r="O1" s="10" t="s">
        <v>38</v>
      </c>
      <c r="P1" s="10" t="s">
        <v>39</v>
      </c>
      <c r="Q1" s="10" t="s">
        <v>31</v>
      </c>
      <c r="R1" s="17" t="s">
        <v>32</v>
      </c>
      <c r="S1" s="17" t="s">
        <v>33</v>
      </c>
      <c r="T1" s="10" t="s">
        <v>34</v>
      </c>
      <c r="U1" s="11" t="s">
        <v>10</v>
      </c>
    </row>
    <row r="2" spans="1:21" ht="17" thickBot="1">
      <c r="A2" s="12"/>
      <c r="B2" s="13" t="s">
        <v>50</v>
      </c>
      <c r="C2" s="13" t="s">
        <v>29</v>
      </c>
      <c r="D2" s="13" t="s">
        <v>14</v>
      </c>
      <c r="E2" s="13" t="s">
        <v>15</v>
      </c>
      <c r="F2" s="13"/>
      <c r="G2" s="13"/>
      <c r="H2" s="13" t="s">
        <v>36</v>
      </c>
      <c r="I2" s="13" t="s">
        <v>14</v>
      </c>
      <c r="J2" s="13" t="s">
        <v>15</v>
      </c>
      <c r="K2" s="13"/>
      <c r="L2" s="13"/>
      <c r="M2" s="18" t="s">
        <v>36</v>
      </c>
      <c r="N2" s="18"/>
      <c r="O2" s="13"/>
      <c r="P2" s="13" t="s">
        <v>40</v>
      </c>
      <c r="Q2" s="13" t="s">
        <v>16</v>
      </c>
      <c r="R2" s="18" t="s">
        <v>16</v>
      </c>
      <c r="S2" s="18" t="s">
        <v>16</v>
      </c>
      <c r="T2" s="13" t="s">
        <v>16</v>
      </c>
      <c r="U2" s="14" t="s">
        <v>16</v>
      </c>
    </row>
    <row r="3" spans="1:21">
      <c r="A3" s="15" t="s">
        <v>11</v>
      </c>
      <c r="B3" s="8">
        <f>13455</f>
        <v>13455</v>
      </c>
      <c r="C3" s="28">
        <f>B3*(0.000022957)</f>
        <v>0.30888643500000001</v>
      </c>
      <c r="D3" s="8">
        <f>6781</f>
        <v>6781</v>
      </c>
      <c r="E3" s="8">
        <f>148</f>
        <v>148</v>
      </c>
      <c r="F3" s="8">
        <f>0.014</f>
        <v>1.4E-2</v>
      </c>
      <c r="G3" s="8">
        <v>0.8</v>
      </c>
      <c r="H3" s="8">
        <v>2.5</v>
      </c>
      <c r="I3" s="8">
        <v>6674</v>
      </c>
      <c r="J3" s="8">
        <v>125</v>
      </c>
      <c r="K3" s="8">
        <v>3.2000000000000001E-2</v>
      </c>
      <c r="L3" s="8">
        <v>0.25</v>
      </c>
      <c r="M3" s="20">
        <v>1.2</v>
      </c>
      <c r="N3" s="19">
        <f>((D3*G3)+(I3*L3))/B3</f>
        <v>0.5271869193608324</v>
      </c>
      <c r="O3" s="8">
        <f>0.5</f>
        <v>0.5</v>
      </c>
      <c r="P3" s="8">
        <v>0.4</v>
      </c>
      <c r="Q3" s="28">
        <f t="shared" ref="Q3:Q10" si="0">(1/60)*(E3/H3)</f>
        <v>0.98666666666666669</v>
      </c>
      <c r="R3" s="19">
        <f>(1/60)*(J3/M3)</f>
        <v>1.7361111111111112</v>
      </c>
      <c r="S3" s="19">
        <f>(0.395*(1.1-P3)*SQRT(E3))/(F3^0.33)</f>
        <v>13.759534502233011</v>
      </c>
      <c r="T3" s="28">
        <f>(0.395*(1.1-P3)*SQRT(J3))/(K3^0.33)</f>
        <v>9.6261062128176622</v>
      </c>
      <c r="U3" s="30">
        <f>IF(Q3+S3&gt;=R3+T3,Q3+S3,R3+T3)</f>
        <v>14.746201168899677</v>
      </c>
    </row>
    <row r="4" spans="1:21">
      <c r="A4" s="16" t="s">
        <v>12</v>
      </c>
      <c r="B4" s="2">
        <v>11926</v>
      </c>
      <c r="C4" s="28">
        <f t="shared" ref="C4:C11" si="1">B4*(0.000022957)</f>
        <v>0.27378518200000002</v>
      </c>
      <c r="D4" s="2">
        <v>5382</v>
      </c>
      <c r="E4" s="2">
        <v>138</v>
      </c>
      <c r="F4" s="2">
        <v>5.0999999999999997E-2</v>
      </c>
      <c r="G4" s="2">
        <v>0.8</v>
      </c>
      <c r="H4" s="2">
        <v>4.5</v>
      </c>
      <c r="I4" s="2">
        <v>6544</v>
      </c>
      <c r="J4" s="2">
        <v>131</v>
      </c>
      <c r="K4" s="2">
        <v>0.04</v>
      </c>
      <c r="L4" s="2">
        <v>0.25</v>
      </c>
      <c r="M4" s="20">
        <v>1.4</v>
      </c>
      <c r="N4" s="19">
        <f>((D4*G4)+(I4*L4))/B4</f>
        <v>0.49820560120744595</v>
      </c>
      <c r="O4" s="2">
        <v>0.45</v>
      </c>
      <c r="P4" s="2">
        <v>0.37</v>
      </c>
      <c r="Q4" s="24">
        <f t="shared" si="0"/>
        <v>0.51111111111111107</v>
      </c>
      <c r="R4" s="19">
        <f>(1/60)*(J4/M4)</f>
        <v>1.5595238095238098</v>
      </c>
      <c r="S4" s="19">
        <f t="shared" ref="S4:S11" si="2">(0.395*(1.1-P4)*SQRT(E4))/(F4^0.33)</f>
        <v>9.0440163923303469</v>
      </c>
      <c r="T4" s="24">
        <f t="shared" ref="T4:T10" si="3">(0.395*(1.1-P4)*SQRT(J4))/(K4^0.33)</f>
        <v>9.5471952941928322</v>
      </c>
      <c r="U4" s="30">
        <f t="shared" ref="U4:U12" si="4">IF(Q4+S4&gt;=R4+T4,Q4+S4,R4+T4)</f>
        <v>11.106719103716642</v>
      </c>
    </row>
    <row r="5" spans="1:21">
      <c r="A5" s="16" t="s">
        <v>13</v>
      </c>
      <c r="B5" s="2">
        <v>2530</v>
      </c>
      <c r="C5" s="28">
        <f t="shared" si="1"/>
        <v>5.8081210000000001E-2</v>
      </c>
      <c r="D5" s="2">
        <v>2530</v>
      </c>
      <c r="E5" s="2">
        <v>90</v>
      </c>
      <c r="F5" s="2">
        <v>0.06</v>
      </c>
      <c r="G5" s="2">
        <v>0.8</v>
      </c>
      <c r="H5" s="2">
        <v>5</v>
      </c>
      <c r="I5" s="2" t="s">
        <v>23</v>
      </c>
      <c r="J5" s="2" t="s">
        <v>23</v>
      </c>
      <c r="K5" s="2" t="s">
        <v>23</v>
      </c>
      <c r="L5" s="2" t="s">
        <v>23</v>
      </c>
      <c r="M5" s="20" t="s">
        <v>23</v>
      </c>
      <c r="N5" s="19">
        <f>G5</f>
        <v>0.8</v>
      </c>
      <c r="O5" s="2">
        <v>1</v>
      </c>
      <c r="P5" s="2">
        <v>0.9</v>
      </c>
      <c r="Q5" s="24">
        <f t="shared" si="0"/>
        <v>0.3</v>
      </c>
      <c r="R5" s="20">
        <v>0</v>
      </c>
      <c r="S5" s="19">
        <f>(0.395*(1.1-P5)*SQRT(E5))/(F5^0.33)</f>
        <v>1.8965243949009012</v>
      </c>
      <c r="T5" s="2">
        <v>0</v>
      </c>
      <c r="U5" s="30">
        <f t="shared" si="4"/>
        <v>2.196524394900901</v>
      </c>
    </row>
    <row r="6" spans="1:21">
      <c r="A6" s="16" t="s">
        <v>17</v>
      </c>
      <c r="B6" s="2">
        <v>2530</v>
      </c>
      <c r="C6" s="28">
        <f t="shared" si="1"/>
        <v>5.8081210000000001E-2</v>
      </c>
      <c r="D6" s="2">
        <v>1119</v>
      </c>
      <c r="E6" s="2">
        <v>89</v>
      </c>
      <c r="F6" s="2">
        <v>7.0000000000000007E-2</v>
      </c>
      <c r="G6" s="2">
        <v>0.8</v>
      </c>
      <c r="H6" s="2">
        <v>5.2</v>
      </c>
      <c r="I6" s="2">
        <v>1421</v>
      </c>
      <c r="J6" s="2">
        <v>56</v>
      </c>
      <c r="K6" s="2">
        <v>0.11</v>
      </c>
      <c r="L6" s="2">
        <v>0.25</v>
      </c>
      <c r="M6" s="20">
        <v>2.1</v>
      </c>
      <c r="N6" s="19">
        <f>((D6*G6)+(I6*L6))/B6</f>
        <v>0.49424901185770753</v>
      </c>
      <c r="O6" s="2">
        <f>0.44</f>
        <v>0.44</v>
      </c>
      <c r="P6" s="2">
        <v>0.37</v>
      </c>
      <c r="Q6" s="24">
        <f t="shared" si="0"/>
        <v>0.28525641025641024</v>
      </c>
      <c r="R6" s="19">
        <f>(1/60)*(J6/M6)</f>
        <v>0.44444444444444442</v>
      </c>
      <c r="S6" s="19">
        <f t="shared" si="2"/>
        <v>6.5423324010334909</v>
      </c>
      <c r="T6" s="24">
        <f t="shared" si="3"/>
        <v>4.4704823353290584</v>
      </c>
      <c r="U6" s="30">
        <f t="shared" si="4"/>
        <v>6.8275888112899015</v>
      </c>
    </row>
    <row r="7" spans="1:21">
      <c r="A7" s="16" t="s">
        <v>18</v>
      </c>
      <c r="B7" s="2">
        <v>3444</v>
      </c>
      <c r="C7" s="28">
        <f t="shared" si="1"/>
        <v>7.9063908000000002E-2</v>
      </c>
      <c r="D7" s="2">
        <v>2099</v>
      </c>
      <c r="E7" s="2">
        <v>79</v>
      </c>
      <c r="F7" s="2">
        <v>0.04</v>
      </c>
      <c r="G7" s="2">
        <v>0.8</v>
      </c>
      <c r="H7" s="2">
        <v>4</v>
      </c>
      <c r="I7" s="2">
        <v>1345</v>
      </c>
      <c r="J7" s="2">
        <v>46</v>
      </c>
      <c r="K7" s="2">
        <v>0.04</v>
      </c>
      <c r="L7" s="2">
        <v>0.25</v>
      </c>
      <c r="M7" s="20">
        <v>1.4</v>
      </c>
      <c r="N7" s="19">
        <f>((D7*G7)+(I7*L7))/B7</f>
        <v>0.58520615563298495</v>
      </c>
      <c r="O7" s="2">
        <f>0.6</f>
        <v>0.6</v>
      </c>
      <c r="P7" s="2">
        <v>0.46</v>
      </c>
      <c r="Q7" s="24">
        <f t="shared" si="0"/>
        <v>0.32916666666666666</v>
      </c>
      <c r="R7" s="19">
        <f>(1/60)*(J7/M7)</f>
        <v>0.54761904761904767</v>
      </c>
      <c r="S7" s="19">
        <f t="shared" si="2"/>
        <v>6.4999620064994819</v>
      </c>
      <c r="T7" s="24">
        <f t="shared" si="3"/>
        <v>4.9599373208997628</v>
      </c>
      <c r="U7" s="30">
        <f t="shared" si="4"/>
        <v>6.8291286731661485</v>
      </c>
    </row>
    <row r="8" spans="1:21">
      <c r="A8" s="16" t="s">
        <v>19</v>
      </c>
      <c r="B8" s="2">
        <v>2476</v>
      </c>
      <c r="C8" s="28">
        <f t="shared" si="1"/>
        <v>5.6841532E-2</v>
      </c>
      <c r="D8" s="2">
        <v>2476</v>
      </c>
      <c r="E8" s="2">
        <v>75</v>
      </c>
      <c r="F8" s="2">
        <v>0.11</v>
      </c>
      <c r="G8" s="2">
        <v>0.8</v>
      </c>
      <c r="H8" s="2">
        <v>6.5</v>
      </c>
      <c r="I8" s="2" t="s">
        <v>23</v>
      </c>
      <c r="J8" s="2" t="s">
        <v>23</v>
      </c>
      <c r="K8" s="2" t="s">
        <v>23</v>
      </c>
      <c r="L8" s="2" t="s">
        <v>23</v>
      </c>
      <c r="M8" s="20" t="s">
        <v>23</v>
      </c>
      <c r="N8" s="19">
        <f>G8</f>
        <v>0.8</v>
      </c>
      <c r="O8" s="2">
        <v>1</v>
      </c>
      <c r="P8" s="2">
        <v>0.9</v>
      </c>
      <c r="Q8" s="24">
        <f t="shared" si="0"/>
        <v>0.19230769230769229</v>
      </c>
      <c r="R8" s="20">
        <v>0</v>
      </c>
      <c r="S8" s="19">
        <f t="shared" si="2"/>
        <v>1.4174186307280063</v>
      </c>
      <c r="T8" s="2">
        <v>0</v>
      </c>
      <c r="U8" s="30">
        <f t="shared" si="4"/>
        <v>1.6097263230356986</v>
      </c>
    </row>
    <row r="9" spans="1:21">
      <c r="A9" s="16" t="s">
        <v>20</v>
      </c>
      <c r="B9" s="2">
        <v>3283</v>
      </c>
      <c r="C9" s="28">
        <f t="shared" si="1"/>
        <v>7.5367830999999996E-2</v>
      </c>
      <c r="D9" s="2">
        <v>2799</v>
      </c>
      <c r="E9" s="2">
        <v>112</v>
      </c>
      <c r="F9" s="2">
        <v>7.0000000000000007E-2</v>
      </c>
      <c r="G9" s="2">
        <v>0.8</v>
      </c>
      <c r="H9" s="2">
        <v>5.2</v>
      </c>
      <c r="I9" s="2">
        <v>484</v>
      </c>
      <c r="J9" s="2">
        <v>79</v>
      </c>
      <c r="K9" s="2">
        <v>0.1</v>
      </c>
      <c r="L9" s="2">
        <v>0.25</v>
      </c>
      <c r="M9" s="20">
        <v>2.1</v>
      </c>
      <c r="N9" s="19">
        <f>((D9*G9)+(I9*L9))/B9</f>
        <v>0.71891562595187342</v>
      </c>
      <c r="O9" s="2">
        <v>0.85</v>
      </c>
      <c r="P9" s="2">
        <v>0.68</v>
      </c>
      <c r="Q9" s="24">
        <f t="shared" si="0"/>
        <v>0.35897435897435892</v>
      </c>
      <c r="R9" s="19">
        <f>(1/60)*(J9/M9)</f>
        <v>0.62698412698412698</v>
      </c>
      <c r="S9" s="19">
        <f t="shared" si="2"/>
        <v>4.2225329202153921</v>
      </c>
      <c r="T9" s="24">
        <f t="shared" si="3"/>
        <v>3.1525351073146197</v>
      </c>
      <c r="U9" s="30">
        <f t="shared" si="4"/>
        <v>4.5815072791897506</v>
      </c>
    </row>
    <row r="10" spans="1:21">
      <c r="A10" s="16" t="s">
        <v>21</v>
      </c>
      <c r="B10" s="2">
        <v>4004</v>
      </c>
      <c r="C10" s="28">
        <f t="shared" si="1"/>
        <v>9.1919828000000009E-2</v>
      </c>
      <c r="D10" s="2">
        <v>3444</v>
      </c>
      <c r="E10" s="2">
        <v>85</v>
      </c>
      <c r="F10" s="2">
        <v>0.09</v>
      </c>
      <c r="G10" s="2">
        <v>0.8</v>
      </c>
      <c r="H10" s="2">
        <v>6.5</v>
      </c>
      <c r="I10" s="2">
        <v>560</v>
      </c>
      <c r="J10" s="2">
        <v>39</v>
      </c>
      <c r="K10" s="2">
        <v>0.02</v>
      </c>
      <c r="L10" s="2">
        <v>0.25</v>
      </c>
      <c r="M10" s="20">
        <v>0.95</v>
      </c>
      <c r="N10" s="19">
        <f>((D10*G10)+(I10*L10))/B10</f>
        <v>0.72307692307692317</v>
      </c>
      <c r="O10" s="2">
        <v>0.85</v>
      </c>
      <c r="P10" s="2">
        <v>0.68</v>
      </c>
      <c r="Q10" s="24">
        <f t="shared" si="0"/>
        <v>0.21794871794871795</v>
      </c>
      <c r="R10" s="19">
        <f>(1/60)*(J10/M10)</f>
        <v>0.68421052631578949</v>
      </c>
      <c r="S10" s="19">
        <f t="shared" si="2"/>
        <v>3.3857572785617873</v>
      </c>
      <c r="T10" s="24">
        <f t="shared" si="3"/>
        <v>3.7673744748377951</v>
      </c>
      <c r="U10" s="30">
        <f t="shared" si="4"/>
        <v>4.4515850011535845</v>
      </c>
    </row>
    <row r="11" spans="1:21" ht="16" thickBot="1">
      <c r="A11" s="34" t="s">
        <v>22</v>
      </c>
      <c r="B11" s="35">
        <v>32765</v>
      </c>
      <c r="C11" s="36">
        <f t="shared" si="1"/>
        <v>0.75218610500000005</v>
      </c>
      <c r="D11" s="35">
        <v>32765</v>
      </c>
      <c r="E11" s="35">
        <v>184</v>
      </c>
      <c r="F11" s="35">
        <v>0.06</v>
      </c>
      <c r="G11" s="35">
        <v>0.3</v>
      </c>
      <c r="H11" s="35">
        <v>1.5</v>
      </c>
      <c r="I11" s="35" t="s">
        <v>23</v>
      </c>
      <c r="J11" s="35" t="s">
        <v>23</v>
      </c>
      <c r="K11" s="35" t="s">
        <v>23</v>
      </c>
      <c r="L11" s="35" t="s">
        <v>23</v>
      </c>
      <c r="M11" s="37" t="s">
        <v>23</v>
      </c>
      <c r="N11" s="38">
        <f>G11</f>
        <v>0.3</v>
      </c>
      <c r="O11" s="35">
        <v>0</v>
      </c>
      <c r="P11" s="35">
        <v>0.15</v>
      </c>
      <c r="Q11" s="43">
        <f>(1/60)*(E11/H11)</f>
        <v>2.0444444444444443</v>
      </c>
      <c r="R11" s="37">
        <v>0</v>
      </c>
      <c r="S11" s="38">
        <f t="shared" si="2"/>
        <v>12.880706953534864</v>
      </c>
      <c r="T11" s="35">
        <v>0</v>
      </c>
      <c r="U11" s="39">
        <f t="shared" si="4"/>
        <v>14.925151397979308</v>
      </c>
    </row>
    <row r="12" spans="1:21">
      <c r="A12" s="40" t="s">
        <v>49</v>
      </c>
      <c r="B12" s="41"/>
      <c r="C12" s="42">
        <f>SUM(C3:C11)</f>
        <v>1.754213241</v>
      </c>
      <c r="D12" s="41"/>
      <c r="E12" s="41">
        <v>427</v>
      </c>
      <c r="F12" s="42">
        <f>11/427</f>
        <v>2.576112412177986E-2</v>
      </c>
      <c r="G12" s="42">
        <f>((G3*D3)+(L3*I3)+(G4*D4)+(L4*I4)+(G5*D5)+(G6*D6)+(L6*I6)+(G7*D7)+(L7*I7)+(G8*D8)+(G9*D9)+(L9*I9)+(G10*D10)+(L10*I10)+(G11*D11))/(D3+D4+D5+D6+D7+D8+D9+D10+D11+I3+I4+I6+I7+I9+I10)</f>
        <v>0.46308702877406016</v>
      </c>
      <c r="H12" s="41">
        <v>3</v>
      </c>
      <c r="I12" s="41"/>
      <c r="J12" s="41"/>
      <c r="K12" s="41"/>
      <c r="L12" s="41"/>
      <c r="M12" s="41"/>
      <c r="N12" s="41"/>
      <c r="O12" s="41">
        <v>40</v>
      </c>
      <c r="P12" s="41">
        <v>0.26</v>
      </c>
      <c r="Q12" s="42">
        <f>(1/60)*(E12/H12)</f>
        <v>2.3722222222222222</v>
      </c>
      <c r="R12" s="41">
        <v>0</v>
      </c>
      <c r="S12" s="42">
        <f>(0.395*(1.1-P12)*SQRT(E12))/(F12^0.33)</f>
        <v>22.93358407537103</v>
      </c>
      <c r="T12" s="41">
        <v>0</v>
      </c>
      <c r="U12" s="44">
        <f t="shared" si="4"/>
        <v>25.305806297593254</v>
      </c>
    </row>
    <row r="13" spans="1:21" ht="16" thickBot="1">
      <c r="A13" s="4"/>
      <c r="B13" s="5"/>
      <c r="C13" s="5"/>
      <c r="D13" s="5">
        <f>SUM(D3:D10)</f>
        <v>26630</v>
      </c>
      <c r="E13" s="5"/>
      <c r="F13" s="5"/>
      <c r="G13" s="5"/>
      <c r="H13" s="5"/>
      <c r="I13" s="5">
        <f>SUM(I3+I4+I6+I7+I9+I10)</f>
        <v>17028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/>
    </row>
    <row r="14" spans="1:21" ht="16" thickBot="1"/>
    <row r="15" spans="1:21" ht="30">
      <c r="A15" s="25" t="s">
        <v>25</v>
      </c>
      <c r="B15" s="26" t="s">
        <v>44</v>
      </c>
      <c r="C15" s="10" t="s">
        <v>26</v>
      </c>
      <c r="D15" s="10" t="s">
        <v>27</v>
      </c>
      <c r="E15" s="10" t="s">
        <v>43</v>
      </c>
      <c r="F15" s="10" t="s">
        <v>13</v>
      </c>
      <c r="G15" s="10" t="s">
        <v>41</v>
      </c>
      <c r="H15" s="10" t="s">
        <v>11</v>
      </c>
      <c r="I15" s="10" t="s">
        <v>42</v>
      </c>
      <c r="J15" s="27" t="s">
        <v>48</v>
      </c>
    </row>
    <row r="16" spans="1:21" ht="16" thickBot="1">
      <c r="A16" s="21"/>
      <c r="B16" s="4" t="s">
        <v>30</v>
      </c>
      <c r="C16" s="5" t="s">
        <v>15</v>
      </c>
      <c r="D16" s="5" t="s">
        <v>28</v>
      </c>
      <c r="E16" s="5"/>
      <c r="F16" s="5"/>
      <c r="G16" s="5" t="s">
        <v>45</v>
      </c>
      <c r="H16" s="5" t="s">
        <v>46</v>
      </c>
      <c r="I16" s="5" t="s">
        <v>47</v>
      </c>
      <c r="J16" s="6" t="s">
        <v>30</v>
      </c>
    </row>
    <row r="17" spans="1:11">
      <c r="A17" s="22">
        <v>1</v>
      </c>
      <c r="B17" s="7">
        <v>12</v>
      </c>
      <c r="C17" s="8">
        <v>135</v>
      </c>
      <c r="D17" s="8">
        <v>0.03</v>
      </c>
      <c r="E17" s="8">
        <v>1.4E-2</v>
      </c>
      <c r="F17" s="28">
        <f>(N3)</f>
        <v>0.5271869193608324</v>
      </c>
      <c r="G17" s="8">
        <v>4.5999999999999996</v>
      </c>
      <c r="H17" s="45">
        <f>SUM(C3)</f>
        <v>0.30888643500000001</v>
      </c>
      <c r="I17" s="28">
        <f>F17*G17*H17</f>
        <v>0.74906808526000002</v>
      </c>
      <c r="J17" s="30">
        <f t="shared" ref="J17:J22" si="5">(((2.15*E17*I17)/D17^0.5)^(3/8))*12</f>
        <v>5.5863601607738218</v>
      </c>
      <c r="K17" s="1" t="str">
        <f>IF(J17&gt;B17,"fail","")</f>
        <v/>
      </c>
    </row>
    <row r="18" spans="1:11">
      <c r="A18" s="23">
        <v>2</v>
      </c>
      <c r="B18" s="3">
        <v>15</v>
      </c>
      <c r="C18" s="2">
        <v>36</v>
      </c>
      <c r="D18" s="2">
        <v>0.03</v>
      </c>
      <c r="E18" s="2">
        <v>1.4E-2</v>
      </c>
      <c r="F18" s="24">
        <f>((C3*N3)+(C4*N4))/SUM(C3:C4)</f>
        <v>0.51356920531105943</v>
      </c>
      <c r="G18" s="2">
        <v>4.3</v>
      </c>
      <c r="H18" s="46">
        <f>SUM(C3:C4)</f>
        <v>0.58267161700000003</v>
      </c>
      <c r="I18" s="24">
        <f t="shared" ref="I18:I22" si="6">F18*G18*H18</f>
        <v>1.28674145699</v>
      </c>
      <c r="J18" s="31">
        <f t="shared" si="5"/>
        <v>6.8429392068698611</v>
      </c>
      <c r="K18" s="1" t="str">
        <f t="shared" ref="K18:K25" si="7">IF(J18&gt;B18,"fail","")</f>
        <v/>
      </c>
    </row>
    <row r="19" spans="1:11">
      <c r="A19" s="23">
        <v>3</v>
      </c>
      <c r="B19" s="3">
        <v>15</v>
      </c>
      <c r="C19" s="2">
        <v>13</v>
      </c>
      <c r="D19" s="2">
        <v>0.23</v>
      </c>
      <c r="E19" s="2">
        <v>1.4E-2</v>
      </c>
      <c r="F19" s="24">
        <f>((C3*N3)+(C4*N4)+(C5*N5))/SUM(C3:C5)</f>
        <v>0.53953280068790077</v>
      </c>
      <c r="G19" s="2">
        <v>4.2</v>
      </c>
      <c r="H19" s="46">
        <f>SUM(C3:C5)</f>
        <v>0.64075282700000002</v>
      </c>
      <c r="I19" s="24">
        <f t="shared" si="6"/>
        <v>1.4519701026599998</v>
      </c>
      <c r="J19" s="31">
        <f t="shared" si="5"/>
        <v>4.8871294232884148</v>
      </c>
      <c r="K19" s="1" t="str">
        <f t="shared" si="7"/>
        <v/>
      </c>
    </row>
    <row r="20" spans="1:11">
      <c r="A20" s="23">
        <v>5</v>
      </c>
      <c r="B20" s="3">
        <v>12</v>
      </c>
      <c r="C20" s="2">
        <v>43</v>
      </c>
      <c r="D20" s="2">
        <v>0.09</v>
      </c>
      <c r="E20" s="2">
        <v>1.4E-2</v>
      </c>
      <c r="F20" s="24">
        <f>(N7)</f>
        <v>0.58520615563298495</v>
      </c>
      <c r="G20" s="2">
        <v>6.4</v>
      </c>
      <c r="H20" s="46">
        <f>SUM(C3:C6)</f>
        <v>0.69883403700000002</v>
      </c>
      <c r="I20" s="24">
        <f t="shared" si="6"/>
        <v>2.6173566733967948</v>
      </c>
      <c r="J20" s="31">
        <f t="shared" si="5"/>
        <v>7.2681151995669779</v>
      </c>
      <c r="K20" s="1" t="str">
        <f t="shared" si="7"/>
        <v/>
      </c>
    </row>
    <row r="21" spans="1:11">
      <c r="A21" s="23">
        <v>4</v>
      </c>
      <c r="B21" s="3">
        <v>15</v>
      </c>
      <c r="C21" s="2">
        <v>26</v>
      </c>
      <c r="D21" s="2">
        <v>7.0000000000000007E-2</v>
      </c>
      <c r="E21" s="2">
        <v>1.4E-2</v>
      </c>
      <c r="F21" s="24">
        <f>((C3*N3)+(C4*N4)+(C5*N5)+(C6*N6)+(C7*N7))/SUM(C3:C7)</f>
        <v>0.54079386159067433</v>
      </c>
      <c r="G21" s="2">
        <v>4.3</v>
      </c>
      <c r="H21" s="46">
        <f t="shared" ref="H21" si="8">SUM(C7)</f>
        <v>7.9063908000000002E-2</v>
      </c>
      <c r="I21" s="24">
        <f t="shared" si="6"/>
        <v>0.18385628731501019</v>
      </c>
      <c r="J21" s="31">
        <f t="shared" si="5"/>
        <v>2.8142795289360509</v>
      </c>
      <c r="K21" s="1" t="str">
        <f t="shared" si="7"/>
        <v/>
      </c>
    </row>
    <row r="22" spans="1:11">
      <c r="A22" s="23">
        <v>6</v>
      </c>
      <c r="B22" s="3">
        <v>15</v>
      </c>
      <c r="C22" s="2">
        <v>30</v>
      </c>
      <c r="D22" s="2">
        <v>0.03</v>
      </c>
      <c r="E22" s="2">
        <v>1.4E-2</v>
      </c>
      <c r="F22" s="24">
        <f>((C3*N3)+(C4*N4)+(C5*N5)+(C6*N6)+(C7*N7)+(C8*N8))/SUM(C3:C8)</f>
        <v>0.55844448722532392</v>
      </c>
      <c r="G22" s="2">
        <v>4.2</v>
      </c>
      <c r="H22" s="46">
        <f>SUM(C3:C8)</f>
        <v>0.83473947699999995</v>
      </c>
      <c r="I22" s="24">
        <f t="shared" si="6"/>
        <v>1.9578537686400004</v>
      </c>
      <c r="J22" s="31">
        <f t="shared" si="5"/>
        <v>8.0094195020761259</v>
      </c>
      <c r="K22" s="1" t="str">
        <f t="shared" si="7"/>
        <v/>
      </c>
    </row>
    <row r="23" spans="1:11">
      <c r="A23" s="23">
        <v>7</v>
      </c>
      <c r="B23" s="3">
        <v>18</v>
      </c>
      <c r="C23" s="2">
        <v>49</v>
      </c>
      <c r="D23" s="2">
        <v>0.02</v>
      </c>
      <c r="E23" s="2">
        <v>1.4E-2</v>
      </c>
      <c r="F23" s="24">
        <f>((C3*N3)+(C4*N4)+(C5*N5)+(C6*N6)+(C7*N7)+(C8*N8)+(C9*N9))/SUM(C3:C9)</f>
        <v>0.57173342750479272</v>
      </c>
      <c r="G23" s="2">
        <v>4.2</v>
      </c>
      <c r="H23" s="46">
        <f>SUM(C3:C9)</f>
        <v>0.91010730799999995</v>
      </c>
      <c r="I23" s="24">
        <f>F23*G23*H23</f>
        <v>2.1854228365199999</v>
      </c>
      <c r="J23" s="31">
        <f>(((2.15*E23*I23)/D23^0.5)^(3/8))*12</f>
        <v>9.0058842655155029</v>
      </c>
      <c r="K23" s="1" t="str">
        <f t="shared" si="7"/>
        <v/>
      </c>
    </row>
    <row r="24" spans="1:11">
      <c r="A24" s="23">
        <v>8</v>
      </c>
      <c r="B24" s="3">
        <v>4</v>
      </c>
      <c r="C24" s="2">
        <v>26</v>
      </c>
      <c r="D24" s="2">
        <v>0.15</v>
      </c>
      <c r="E24" s="2">
        <v>1.4E-2</v>
      </c>
      <c r="F24" s="24">
        <f>N11</f>
        <v>0.3</v>
      </c>
      <c r="G24" s="2">
        <v>4.5999999999999996</v>
      </c>
      <c r="H24" s="46">
        <f>C11</f>
        <v>0.75218610500000005</v>
      </c>
      <c r="I24" s="24">
        <f>F24*G24*H24</f>
        <v>1.0380168248999999</v>
      </c>
      <c r="J24" s="31">
        <f>(((2.15*E24*I24)/D24^0.5)^(3/8))*12</f>
        <v>4.6687779399113527</v>
      </c>
      <c r="K24" s="33" t="str">
        <f t="shared" si="7"/>
        <v>fail</v>
      </c>
    </row>
    <row r="25" spans="1:11" ht="16" thickBot="1">
      <c r="A25" s="21">
        <v>9</v>
      </c>
      <c r="B25" s="4">
        <v>30</v>
      </c>
      <c r="C25" s="5">
        <v>420</v>
      </c>
      <c r="D25" s="5">
        <v>0.05</v>
      </c>
      <c r="E25" s="5">
        <v>1.4E-2</v>
      </c>
      <c r="F25" s="29">
        <f>((C3*N3)+(C4*N4)+(C5*N5)+(C6*N6)+(C7*N7)+(C8*N8)+(C9*N9)+(C10*N10))/SUM(C3:C10)</f>
        <v>0.58561675219941356</v>
      </c>
      <c r="G25" s="5">
        <v>4.2</v>
      </c>
      <c r="H25" s="47">
        <f>SUM(C3:C11)</f>
        <v>1.754213241</v>
      </c>
      <c r="I25" s="29">
        <f>F25*G25*H25</f>
        <v>4.3146459756104338</v>
      </c>
      <c r="J25" s="32">
        <f>(((2.15*E25*I25)/D25^0.5)^(3/8))*12</f>
        <v>9.7879387648351006</v>
      </c>
      <c r="K25" s="1" t="str">
        <f t="shared" si="7"/>
        <v/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 Edmonds</dc:creator>
  <cp:lastModifiedBy>Taylor  Edmonds</cp:lastModifiedBy>
  <dcterms:created xsi:type="dcterms:W3CDTF">2013-11-12T23:12:58Z</dcterms:created>
  <dcterms:modified xsi:type="dcterms:W3CDTF">2014-07-18T18:10:30Z</dcterms:modified>
</cp:coreProperties>
</file>